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tabRatio="748" activeTab="0"/>
  </bookViews>
  <sheets>
    <sheet name="BUGET" sheetId="1" r:id="rId1"/>
    <sheet name="Deviz-general" sheetId="2" r:id="rId2"/>
    <sheet name="F1" sheetId="3" r:id="rId3"/>
    <sheet name="F2" sheetId="4" r:id="rId4"/>
    <sheet name="Deviz pe obiect-TRAFO" sheetId="5" r:id="rId5"/>
    <sheet name="F4-U" sheetId="6" r:id="rId6"/>
    <sheet name="F5-U1" sheetId="7" r:id="rId7"/>
    <sheet name="F5-U2" sheetId="8" r:id="rId8"/>
    <sheet name="F5-U3" sheetId="9" r:id="rId9"/>
    <sheet name="F5-U4" sheetId="10" r:id="rId10"/>
    <sheet name="F5-U5" sheetId="11" r:id="rId11"/>
    <sheet name="F4-D" sheetId="12" r:id="rId12"/>
    <sheet name="F5-D1" sheetId="13" r:id="rId13"/>
    <sheet name="F5-D2" sheetId="14" r:id="rId14"/>
    <sheet name="F5-D3" sheetId="15" r:id="rId15"/>
    <sheet name="F5-D4" sheetId="16" r:id="rId16"/>
    <sheet name="F5-D5" sheetId="17" r:id="rId17"/>
    <sheet name="F5-D6" sheetId="18" r:id="rId18"/>
    <sheet name="F5-D7" sheetId="19" r:id="rId19"/>
    <sheet name="F5-D8" sheetId="20" r:id="rId20"/>
    <sheet name="F5-D9" sheetId="21" r:id="rId21"/>
    <sheet name="GRAFIC" sheetId="22" r:id="rId22"/>
    <sheet name="deviz financiar" sheetId="23" r:id="rId23"/>
    <sheet name="Cote" sheetId="24" r:id="rId24"/>
  </sheets>
  <externalReferences>
    <externalReference r:id="rId27"/>
    <externalReference r:id="rId28"/>
  </externalReferences>
  <definedNames>
    <definedName name="_xlnm.Print_Area" localSheetId="22">'deviz financiar'!$A$1:$C$46</definedName>
    <definedName name="_xlnm.Print_Area" localSheetId="1">'Deviz-general'!$A$1:$H$63</definedName>
    <definedName name="_xlnm.Print_Area" localSheetId="2">'F1'!$A$1:$E$45</definedName>
    <definedName name="_xlnm.Print_Area" localSheetId="3">'F2'!$A$1:$E$45</definedName>
    <definedName name="_xlnm.Print_Area" localSheetId="21">'GRAFIC'!$A$1:$V$31</definedName>
  </definedNames>
  <calcPr fullCalcOnLoad="1"/>
</workbook>
</file>

<file path=xl/comments2.xml><?xml version="1.0" encoding="utf-8"?>
<comments xmlns="http://schemas.openxmlformats.org/spreadsheetml/2006/main">
  <authors>
    <author>Administrator</author>
    <author>Bauman2</author>
  </authors>
  <commentList>
    <comment ref="D33" authorId="0">
      <text>
        <r>
          <rPr>
            <b/>
            <sz val="8"/>
            <rFont val="Tahoma"/>
            <family val="2"/>
          </rPr>
          <t>-conform deviz obiect</t>
        </r>
      </text>
    </comment>
    <comment ref="H1" authorId="1">
      <text>
        <r>
          <rPr>
            <b/>
            <sz val="8"/>
            <rFont val="Tahoma"/>
            <family val="2"/>
          </rPr>
          <t>Bauman2:</t>
        </r>
        <r>
          <rPr>
            <sz val="8"/>
            <rFont val="Tahoma"/>
            <family val="2"/>
          </rPr>
          <t xml:space="preserve">
Numar proiect
</t>
        </r>
      </text>
    </comment>
    <comment ref="B4" authorId="1">
      <text>
        <r>
          <rPr>
            <b/>
            <sz val="8"/>
            <rFont val="Tahoma"/>
            <family val="2"/>
          </rPr>
          <t>Bauman2:</t>
        </r>
        <r>
          <rPr>
            <sz val="8"/>
            <rFont val="Tahoma"/>
            <family val="2"/>
          </rPr>
          <t xml:space="preserve">
Denumirea lucrarii</t>
        </r>
      </text>
    </comment>
    <comment ref="D5" authorId="1">
      <text>
        <r>
          <rPr>
            <b/>
            <sz val="8"/>
            <rFont val="Tahoma"/>
            <family val="2"/>
          </rPr>
          <t>Bauman2:</t>
        </r>
        <r>
          <rPr>
            <sz val="8"/>
            <rFont val="Tahoma"/>
            <family val="2"/>
          </rPr>
          <t xml:space="preserve">
Beneficiar</t>
        </r>
      </text>
    </comment>
    <comment ref="D13" authorId="1">
      <text>
        <r>
          <rPr>
            <b/>
            <sz val="8"/>
            <rFont val="Tahoma"/>
            <family val="2"/>
          </rPr>
          <t>Bauman2:</t>
        </r>
        <r>
          <rPr>
            <sz val="8"/>
            <rFont val="Tahoma"/>
            <family val="2"/>
          </rPr>
          <t xml:space="preserve">
cheltuielile efectuate pentru cumpărarea de terenuri, plata concesiunii (redevenţei) pe durata realizării lucrărilor, exproprieri, despăgubiri, schimbarea regimului juridic al terenului, scoaterea temporară sau definitivă din circuitul agricol, precum şi alte cheltuieli de aceeaşi natură.</t>
        </r>
      </text>
    </comment>
    <comment ref="D14" authorId="1">
      <text>
        <r>
          <rPr>
            <b/>
            <sz val="8"/>
            <rFont val="Tahoma"/>
            <family val="2"/>
          </rPr>
          <t>Bauman2:</t>
        </r>
        <r>
          <rPr>
            <sz val="8"/>
            <rFont val="Tahoma"/>
            <family val="2"/>
          </rPr>
          <t xml:space="preserve">
cheltuielile efectuate la începutul lucrărilor pentru pregătirea amplasamentului şi care constau în demolări, demontări, defrişări, evacuări materiale rezultate, devieri reţele de utilităţi din amplasament, sistematizări pe verticală, drenaje, epuismente (exclusiv cele aferente realizării lucrărilor pentru investiţia de bază), devieri de cursuri de apă, strămutări de localităţi sau de monumente istorice etc.</t>
        </r>
      </text>
    </comment>
    <comment ref="D15" authorId="1">
      <text>
        <r>
          <rPr>
            <b/>
            <sz val="8"/>
            <rFont val="Tahoma"/>
            <family val="2"/>
          </rPr>
          <t>Bauman2:</t>
        </r>
        <r>
          <rPr>
            <sz val="8"/>
            <rFont val="Tahoma"/>
            <family val="2"/>
          </rPr>
          <t xml:space="preserve">
cheltuielile efectuate pentru lucrări şi acţiuni de protecţia mediului, inclusiv pentru refacerea cadrului natural după terminarea lucrărilor, precum: plantare de copaci, reamenajare de spaţii verzi.</t>
        </r>
      </text>
    </comment>
    <comment ref="D19" authorId="1">
      <text>
        <r>
          <rPr>
            <b/>
            <sz val="8"/>
            <rFont val="Tahoma"/>
            <family val="2"/>
          </rPr>
          <t>Bauman2: -conform deviz pe obiect cap.II</t>
        </r>
        <r>
          <rPr>
            <sz val="8"/>
            <rFont val="Tahoma"/>
            <family val="2"/>
          </rPr>
          <t xml:space="preserve">
cheltuielile aferente asigurării cu utilităţile necesare funcţionării obiectivului de investiţie, precum: alimentare cu apă, canalizare, alimentare cu gaze naturale, agent termic, energie electrică, telefonie, radio-tv, drumuri de acces, căi ferate industriale, care se execută pe amplasamentul delimitat din punct de vedere juridic, ca aparţinând obiectivului de investiţie, precum şi cheltuielile aferente branşării la reţelele de utilităţi.</t>
        </r>
      </text>
    </comment>
    <comment ref="D23" authorId="1">
      <text>
        <r>
          <rPr>
            <b/>
            <sz val="8"/>
            <rFont val="Tahoma"/>
            <family val="2"/>
          </rPr>
          <t>Bauman2: -conform deviz financiar</t>
        </r>
        <r>
          <rPr>
            <sz val="8"/>
            <rFont val="Tahoma"/>
            <family val="2"/>
          </rPr>
          <t xml:space="preserve">
Se cuprind cheltuielile pentru studii geotehnice, geologice, hidrologice, hidrogeotehnice, fotogrammetrice, topografice şi de stabilitate a terenului pe care se amplasează obiectivul de investiţie.</t>
        </r>
      </text>
    </comment>
    <comment ref="D24" authorId="1">
      <text>
        <r>
          <rPr>
            <b/>
            <sz val="8"/>
            <rFont val="Tahoma"/>
            <family val="2"/>
          </rPr>
          <t>Bauman2:-conform deviz financiar</t>
        </r>
        <r>
          <rPr>
            <sz val="8"/>
            <rFont val="Tahoma"/>
            <family val="2"/>
          </rPr>
          <t xml:space="preserve">
Se includ cheltuielile pentru:
   a) obţinerea/prelungirea valabilităţii certificatului de urbanism, taxa pentru obţinerea/prelungirea valabilităţii autorizaţiei de construire, conform legii;
   b) obţinerea avizelor şi acordurilor pentru racorduri şi branşamente la reţele publice de apă, canalizare, gaze, termoficare, energie electrică, telefonie etc.;
   c) obţinerea certificatului de nomenclatură stradală şi adresă;
   d) întocmirea documentaţiei, obţinerea numărului cadastral provizoriu şi înregistrarea terenului în cartea funciară;
   e) obţinerea acordului de mediu;
   f) obţinerea avizului PSI;
   g) alte avize şi acorduri prevăzute în acte normative.</t>
        </r>
      </text>
    </comment>
    <comment ref="D25" authorId="1">
      <text>
        <r>
          <rPr>
            <b/>
            <sz val="8"/>
            <rFont val="Tahoma"/>
            <family val="2"/>
          </rPr>
          <t>Bauman2:-conform deviz financiar</t>
        </r>
        <r>
          <rPr>
            <sz val="8"/>
            <rFont val="Tahoma"/>
            <family val="2"/>
          </rPr>
          <t xml:space="preserve">
1. Se includ cheltuielile pentru elaborarea tuturor fazelor de proiectare (studiu de prefezabilitate, studiu de fezabilitate, proiect tehnic, detalii de execuţie), pentru plata verificării tehnice a proiectării, precum şi pentru elaborarea documentaţiilor necesare obţinerii acordurilor, avizelor şi autorizaţiilor aferente obiectivului de investiţie, documentaţii ce stau la baza emiterii avizelor şi acordurilor impuse prin certificatul de urbanism, documentaţii urbanistice, studii de impact, studii/expertize de amplasament.
   2. Pentru lucrările de modernizare sau consolidare la construcţii existente sau pentru continuarea lucrărilor la construcţii începute şi neterminate se includ cheltuielile efectuate pentru expertiza tehnică.</t>
        </r>
      </text>
    </comment>
    <comment ref="D26" authorId="1">
      <text>
        <r>
          <rPr>
            <b/>
            <sz val="8"/>
            <rFont val="Tahoma"/>
            <family val="2"/>
          </rPr>
          <t>Bauman2:</t>
        </r>
        <r>
          <rPr>
            <sz val="8"/>
            <rFont val="Tahoma"/>
            <family val="2"/>
          </rPr>
          <t xml:space="preserve">
Se includ cheltuielile aferente întocmirii documentaţiei pentru elaborarea şi prezentarea ofertei, precum şi pentru multiplicarea acestora, exclusiv cele cumpărate de ofertanţi; cheltuielile cu onorariile, transportul, cazarea şi diurna membrilor desemnaţi în comisiile de evaluare; anunţuri de intenţie, de participare şi de atribuire a contractelor, corespondenţă prin poştă, fax, poştă electronică etc., în legătură cu procedurile de achiziţie publică.</t>
        </r>
      </text>
    </comment>
    <comment ref="D27" authorId="1">
      <text>
        <r>
          <rPr>
            <b/>
            <sz val="8"/>
            <rFont val="Tahoma"/>
            <family val="2"/>
          </rPr>
          <t>Bauman2:-conform deviz financiar</t>
        </r>
        <r>
          <rPr>
            <sz val="8"/>
            <rFont val="Tahoma"/>
            <family val="2"/>
          </rPr>
          <t xml:space="preserve">
Se includ cheltuielile efectuate, după caz, pentru:
   a) plata serviciilor de consultanţă la elaborarea studiului de prefezabilitate sau a studiilor de piaţă, de evaluare;
   b) plata serviciilor de consultanţă în domeniul managementului investiţiei sau administrarea contractului de execuţie.</t>
        </r>
      </text>
    </comment>
    <comment ref="D28" authorId="1">
      <text>
        <r>
          <rPr>
            <b/>
            <sz val="8"/>
            <rFont val="Tahoma"/>
            <family val="2"/>
          </rPr>
          <t>Bauman2:-conform deviz financiar</t>
        </r>
        <r>
          <rPr>
            <sz val="8"/>
            <rFont val="Tahoma"/>
            <family val="2"/>
          </rPr>
          <t xml:space="preserve">
Se includ cheltuielile efectuate, după caz, pentru:
   a) asistenţă tehnică din partea proiectantului, în cazul când aceasta nu intră în tarifarea proiectării;
   b) asigurarea supravegherii execuţiei prin inspectori de şantier desemnaţi de autoritatea contractantă;
   c) plata specialiştilor angajaţi pe bază de contract conform prevederilor Hotărârii Guvernului nr. 906/2001 privind înfiinţarea, organizarea şi funcţionarea Consiliului Interministerial de Avizare Lucrări Publice de Interes Naţional şi Locuinţe.</t>
        </r>
      </text>
    </comment>
    <comment ref="C33" authorId="1">
      <text>
        <r>
          <rPr>
            <b/>
            <sz val="8"/>
            <rFont val="Tahoma"/>
            <family val="2"/>
          </rPr>
          <t>Bauman2:</t>
        </r>
        <r>
          <rPr>
            <sz val="8"/>
            <rFont val="Tahoma"/>
            <family val="2"/>
          </rPr>
          <t xml:space="preserve">
Denumire obiect investitie</t>
        </r>
      </text>
    </comment>
    <comment ref="D34" authorId="1">
      <text>
        <r>
          <rPr>
            <b/>
            <sz val="8"/>
            <rFont val="Tahoma"/>
            <family val="2"/>
          </rPr>
          <t>Bauman2:</t>
        </r>
        <r>
          <rPr>
            <sz val="8"/>
            <rFont val="Tahoma"/>
            <family val="2"/>
          </rPr>
          <t xml:space="preserve">
-conform deviz obiect</t>
        </r>
      </text>
    </comment>
    <comment ref="D35" authorId="1">
      <text>
        <r>
          <rPr>
            <b/>
            <sz val="8"/>
            <rFont val="Tahoma"/>
            <family val="2"/>
          </rPr>
          <t>Bauman2:</t>
        </r>
        <r>
          <rPr>
            <sz val="8"/>
            <rFont val="Tahoma"/>
            <family val="2"/>
          </rPr>
          <t xml:space="preserve">
-conform deviz obiect</t>
        </r>
      </text>
    </comment>
    <comment ref="D36" authorId="1">
      <text>
        <r>
          <rPr>
            <b/>
            <sz val="8"/>
            <rFont val="Tahoma"/>
            <family val="2"/>
          </rPr>
          <t>Bauman2:</t>
        </r>
        <r>
          <rPr>
            <sz val="8"/>
            <rFont val="Tahoma"/>
            <family val="2"/>
          </rPr>
          <t xml:space="preserve">
-conform deviz obiect</t>
        </r>
      </text>
    </comment>
    <comment ref="D37" authorId="1">
      <text>
        <r>
          <rPr>
            <b/>
            <sz val="8"/>
            <rFont val="Tahoma"/>
            <family val="2"/>
          </rPr>
          <t>Bauman2:</t>
        </r>
        <r>
          <rPr>
            <sz val="8"/>
            <rFont val="Tahoma"/>
            <family val="2"/>
          </rPr>
          <t xml:space="preserve">
-conform deviz obiect</t>
        </r>
      </text>
    </comment>
    <comment ref="D43" authorId="1">
      <text>
        <r>
          <rPr>
            <b/>
            <sz val="8"/>
            <rFont val="Tahoma"/>
            <family val="2"/>
          </rPr>
          <t>Bauman2:</t>
        </r>
        <r>
          <rPr>
            <sz val="8"/>
            <rFont val="Tahoma"/>
            <family val="2"/>
          </rPr>
          <t xml:space="preserve">
1. Se cuprind cheltuielile estimate ca fiind necesare contractantului în vederea creării condiţiilor de desfăşurare a activităţii de construcţii-montaj.
   2. Aceste cheltuieli se estimează de către proiectant, în baza unui deviz ce ţine seama de tehnologia şi graficul de lucru aferente lucrărilor de bază, de amplasamentul obiectivului, posibilităţile de branşare la utilităţi - apă, canal, energie electrică, termoficare, telefon etc. -, traseele acestora, căile de acces auto şi căi ferate, existenţa construcţiilor, spaţiilor, terenurilor sau amenajărilor ce pot fi utilizate de constructor.
-uzual 2.5% din CM</t>
        </r>
      </text>
    </comment>
    <comment ref="D44" authorId="1">
      <text>
        <r>
          <rPr>
            <b/>
            <sz val="8"/>
            <rFont val="Tahoma"/>
            <family val="2"/>
          </rPr>
          <t>Bauman2:</t>
        </r>
        <r>
          <rPr>
            <sz val="8"/>
            <rFont val="Tahoma"/>
            <family val="2"/>
          </rPr>
          <t xml:space="preserve">
Se cuprind cheltuielile pentru: obţinerea autorizaţiei de execuţie a lucrărilor de organizare de şantier, taxe de amplasament, închirieri semne de circulaţie, întreruperea temporară a reţelelor de transport sau distribuţie de apă, canalizare, agent termic, energie electrică, gaze naturale, a circulaţiei rutiere, căi ferate, navale sau aeriene, contractele de asistenţă cu poliţia rutieră, contracte temporare cu furnizorii de utilităţi, cu unităţi de salubrizare.
-uzual 1% din OS lucrari de constructii</t>
        </r>
      </text>
    </comment>
    <comment ref="D46" authorId="1">
      <text>
        <r>
          <rPr>
            <b/>
            <sz val="8"/>
            <rFont val="Tahoma"/>
            <family val="2"/>
          </rPr>
          <t>Bauman2:</t>
        </r>
        <r>
          <rPr>
            <sz val="8"/>
            <rFont val="Tahoma"/>
            <family val="2"/>
          </rPr>
          <t xml:space="preserve">
se cuprind, după caz: comisionul băncii finanţatoare, cota aferentă inspecţiei pentru controlul calităţii lucrărilor de construcţii, cota pentru controlul statului în amenajarea teritoriului, urbanism şi pentru autorizarea lucrărilor de construcţii, cota aferentă Casei Sociale a Constructorilor, valoarea primelor de asigurare din sarcina autorităţii contractante, precum şi alte cheltuieli de aceeaşi natură, stabilite în condiţiile legii.</t>
        </r>
      </text>
    </comment>
    <comment ref="D47" authorId="1">
      <text>
        <r>
          <rPr>
            <b/>
            <sz val="8"/>
            <rFont val="Tahoma"/>
            <family val="2"/>
          </rPr>
          <t>Bauman2:</t>
        </r>
        <r>
          <rPr>
            <sz val="8"/>
            <rFont val="Tahoma"/>
            <family val="2"/>
          </rPr>
          <t xml:space="preserve">
se cuprind comisioanele şi dobânzile aferente creditului pe durata execuţiei obiectivului.</t>
        </r>
      </text>
    </comment>
    <comment ref="D48" authorId="1">
      <text>
        <r>
          <rPr>
            <b/>
            <sz val="8"/>
            <rFont val="Tahoma"/>
            <family val="2"/>
          </rPr>
          <t>Bauman2:</t>
        </r>
        <r>
          <rPr>
            <sz val="8"/>
            <rFont val="Tahoma"/>
            <family val="2"/>
          </rPr>
          <t xml:space="preserve">
a) Estimarea acestora se face procentual din valoarea cheltuielilor prevăzute la cap./subcap. 1.2, 1.3, 2, 3 şi 4 ale devizului general, în funcţie de natura şi complexitatea lucrărilor.
   b) În cazul obiectivelor de investiţii noi, precum şi al reparaţiilor capitale, extinderilor, transformărilor, modificărilor, modernizărilor, reabilitării la construcţii şi instalaţii existente, se aplică un procent de până la 5%.
   c) În cazul lucrărilor de consolidare se aplică un procent de până la 15%, în funcţie de natura şi complexitatea lucrărilor rezultate ca fiind necesare în urma efectuării decopertărilor.</t>
        </r>
      </text>
    </comment>
  </commentList>
</comments>
</file>

<file path=xl/comments22.xml><?xml version="1.0" encoding="utf-8"?>
<comments xmlns="http://schemas.openxmlformats.org/spreadsheetml/2006/main">
  <authors>
    <author>Mihaly Miki</author>
  </authors>
  <commentList>
    <comment ref="A5" authorId="0">
      <text>
        <r>
          <rPr>
            <b/>
            <sz val="8"/>
            <rFont val="Tahoma"/>
            <family val="2"/>
          </rPr>
          <t>Mihaly Miki:</t>
        </r>
        <r>
          <rPr>
            <sz val="8"/>
            <rFont val="Tahoma"/>
            <family val="2"/>
          </rPr>
          <t xml:space="preserve">
18 honap</t>
        </r>
      </text>
    </comment>
  </commentList>
</comments>
</file>

<file path=xl/comments23.xml><?xml version="1.0" encoding="utf-8"?>
<comments xmlns="http://schemas.openxmlformats.org/spreadsheetml/2006/main">
  <authors>
    <author>A-Max</author>
  </authors>
  <commentList>
    <comment ref="C12" authorId="0">
      <text>
        <r>
          <rPr>
            <b/>
            <sz val="8"/>
            <rFont val="Tahoma"/>
            <family val="2"/>
          </rPr>
          <t>A-Max:</t>
        </r>
        <r>
          <rPr>
            <sz val="8"/>
            <rFont val="Tahoma"/>
            <family val="2"/>
          </rPr>
          <t xml:space="preserve">
autorizatia de construire 1% din valoare
intocmirea documentatiei tehnice ptr. Scoatere din
circuitul agricol</t>
        </r>
      </text>
    </comment>
    <comment ref="C13" authorId="0">
      <text>
        <r>
          <rPr>
            <b/>
            <sz val="8"/>
            <rFont val="Tahoma"/>
            <family val="2"/>
          </rPr>
          <t>A-Max:</t>
        </r>
        <r>
          <rPr>
            <sz val="8"/>
            <rFont val="Tahoma"/>
            <family val="2"/>
          </rPr>
          <t xml:space="preserve">
taxa amplificare putere electrica aprobata 100kw-
10.000 ron
+ alte taxe de avize 5.000 ron</t>
        </r>
      </text>
    </comment>
    <comment ref="C19" authorId="0">
      <text>
        <r>
          <rPr>
            <b/>
            <sz val="8"/>
            <rFont val="Tahoma"/>
            <family val="2"/>
          </rPr>
          <t>A-Max:</t>
        </r>
        <r>
          <rPr>
            <sz val="8"/>
            <rFont val="Tahoma"/>
            <family val="2"/>
          </rPr>
          <t xml:space="preserve">
0.1%+0.7% din CM
pe CM fara TVA</t>
        </r>
      </text>
    </comment>
    <comment ref="C24" authorId="0">
      <text>
        <r>
          <rPr>
            <b/>
            <sz val="8"/>
            <rFont val="Tahoma"/>
            <family val="2"/>
          </rPr>
          <t>A-Max:</t>
        </r>
        <r>
          <rPr>
            <sz val="8"/>
            <rFont val="Tahoma"/>
            <family val="2"/>
          </rPr>
          <t xml:space="preserve">
Studii topo-geo</t>
        </r>
      </text>
    </comment>
    <comment ref="C25" authorId="0">
      <text>
        <r>
          <rPr>
            <b/>
            <sz val="8"/>
            <rFont val="Tahoma"/>
            <family val="2"/>
          </rPr>
          <t>A-Max:</t>
        </r>
        <r>
          <rPr>
            <sz val="8"/>
            <rFont val="Tahoma"/>
            <family val="2"/>
          </rPr>
          <t xml:space="preserve">
10% din cheltuieli de proiectare</t>
        </r>
      </text>
    </comment>
    <comment ref="C22" authorId="0">
      <text>
        <r>
          <rPr>
            <b/>
            <sz val="8"/>
            <rFont val="Tahoma"/>
            <family val="2"/>
          </rPr>
          <t>A-Max:</t>
        </r>
        <r>
          <rPr>
            <sz val="8"/>
            <rFont val="Tahoma"/>
            <family val="2"/>
          </rPr>
          <t xml:space="preserve">
conform anexa 6.14.A - transa 4-pana la 2.880.000 euro
grupa V-functiuni tehnologice = 6.1%
-ptr.CM 900.000 euro*6.1%=54.900 euro (routnd 55.000)</t>
        </r>
      </text>
    </comment>
    <comment ref="C26" authorId="0">
      <text>
        <r>
          <rPr>
            <b/>
            <sz val="8"/>
            <rFont val="Tahoma"/>
            <family val="2"/>
          </rPr>
          <t>A-Max:</t>
        </r>
        <r>
          <rPr>
            <sz val="8"/>
            <rFont val="Tahoma"/>
            <family val="2"/>
          </rPr>
          <t xml:space="preserve">
53% din cheltuieli de proiectare</t>
        </r>
      </text>
    </comment>
    <comment ref="C27" authorId="0">
      <text>
        <r>
          <rPr>
            <b/>
            <sz val="8"/>
            <rFont val="Tahoma"/>
            <family val="2"/>
          </rPr>
          <t>A-Max:</t>
        </r>
        <r>
          <rPr>
            <sz val="8"/>
            <rFont val="Tahoma"/>
            <family val="2"/>
          </rPr>
          <t xml:space="preserve">
20%</t>
        </r>
      </text>
    </comment>
    <comment ref="C28" authorId="0">
      <text>
        <r>
          <rPr>
            <b/>
            <sz val="8"/>
            <rFont val="Tahoma"/>
            <family val="2"/>
          </rPr>
          <t>A-Max:</t>
        </r>
        <r>
          <rPr>
            <sz val="8"/>
            <rFont val="Tahoma"/>
            <family val="2"/>
          </rPr>
          <t xml:space="preserve">
10%</t>
        </r>
      </text>
    </comment>
    <comment ref="C30" authorId="0">
      <text>
        <r>
          <rPr>
            <b/>
            <sz val="8"/>
            <rFont val="Tahoma"/>
            <family val="2"/>
          </rPr>
          <t>A-Max:</t>
        </r>
        <r>
          <rPr>
            <sz val="8"/>
            <rFont val="Tahoma"/>
            <family val="2"/>
          </rPr>
          <t xml:space="preserve">
PUZ-PUG</t>
        </r>
      </text>
    </comment>
    <comment ref="C33" authorId="0">
      <text>
        <r>
          <rPr>
            <b/>
            <sz val="8"/>
            <rFont val="Tahoma"/>
            <family val="2"/>
          </rPr>
          <t>A-Max:</t>
        </r>
        <r>
          <rPr>
            <sz val="8"/>
            <rFont val="Tahoma"/>
            <family val="2"/>
          </rPr>
          <t xml:space="preserve">
in caz de programe - plata firmei de consultanta care intocmeste programul</t>
        </r>
      </text>
    </comment>
    <comment ref="C41" authorId="0">
      <text>
        <r>
          <rPr>
            <b/>
            <sz val="8"/>
            <rFont val="Tahoma"/>
            <family val="2"/>
          </rPr>
          <t>A-Max:</t>
        </r>
        <r>
          <rPr>
            <sz val="8"/>
            <rFont val="Tahoma"/>
            <family val="2"/>
          </rPr>
          <t xml:space="preserve">
Se calculeaza numai pentru punctele 2,3,4
-taxele si avizele sunt fara TVA</t>
        </r>
      </text>
    </comment>
    <comment ref="C29" authorId="0">
      <text>
        <r>
          <rPr>
            <b/>
            <sz val="8"/>
            <rFont val="Tahoma"/>
            <family val="2"/>
          </rPr>
          <t>A-Max:</t>
        </r>
        <r>
          <rPr>
            <sz val="8"/>
            <rFont val="Tahoma"/>
            <family val="2"/>
          </rPr>
          <t xml:space="preserve">
Fise tehnice</t>
        </r>
      </text>
    </comment>
    <comment ref="C37" authorId="0">
      <text>
        <r>
          <rPr>
            <b/>
            <sz val="8"/>
            <rFont val="Tahoma"/>
            <family val="2"/>
          </rPr>
          <t>A-Max:</t>
        </r>
        <r>
          <rPr>
            <sz val="8"/>
            <rFont val="Tahoma"/>
            <family val="2"/>
          </rPr>
          <t xml:space="preserve">
Plata verificatorilor proiectului pe specialitati</t>
        </r>
      </text>
    </comment>
    <comment ref="C38" authorId="0">
      <text>
        <r>
          <rPr>
            <b/>
            <sz val="8"/>
            <rFont val="Tahoma"/>
            <family val="2"/>
          </rPr>
          <t>A-Max:</t>
        </r>
        <r>
          <rPr>
            <sz val="8"/>
            <rFont val="Tahoma"/>
            <family val="2"/>
          </rPr>
          <t xml:space="preserve">
!!!!-Daca nu este cuprins in contractul de proiectare</t>
        </r>
      </text>
    </comment>
    <comment ref="C39" authorId="0">
      <text>
        <r>
          <rPr>
            <b/>
            <sz val="8"/>
            <rFont val="Tahoma"/>
            <family val="2"/>
          </rPr>
          <t>A-Max:</t>
        </r>
        <r>
          <rPr>
            <sz val="8"/>
            <rFont val="Tahoma"/>
            <family val="2"/>
          </rPr>
          <t xml:space="preserve">
diriginte de santier</t>
        </r>
      </text>
    </comment>
  </commentList>
</comments>
</file>

<file path=xl/sharedStrings.xml><?xml version="1.0" encoding="utf-8"?>
<sst xmlns="http://schemas.openxmlformats.org/spreadsheetml/2006/main" count="660" uniqueCount="357">
  <si>
    <t>Proiect nr.:</t>
  </si>
  <si>
    <t>DEVIZ GENERAL</t>
  </si>
  <si>
    <t>din data de:</t>
  </si>
  <si>
    <t>Nr. crt.</t>
  </si>
  <si>
    <t>Denumirea capitolelor  si subcapitolelor de cheltuieli</t>
  </si>
  <si>
    <t>EURO</t>
  </si>
  <si>
    <t>CAPITOLUL 1.</t>
  </si>
  <si>
    <t>Cheltuieli pentru obtinerea si amenajarea terenului</t>
  </si>
  <si>
    <t>Obtinerea terenului</t>
  </si>
  <si>
    <t>Amenajarea terenului</t>
  </si>
  <si>
    <t>Amenajari pentru protectia mediului</t>
  </si>
  <si>
    <t>TOTAL Cap.I:</t>
  </si>
  <si>
    <t>CAPITOLUL 2.</t>
  </si>
  <si>
    <t>Cheltuieli pentru asigurarea utilitatilor necesare obiectivului</t>
  </si>
  <si>
    <t>Cheltuieli pentru asigurarea utilitatilor</t>
  </si>
  <si>
    <t>TOTAL Cap.II:</t>
  </si>
  <si>
    <t>CAPITOLUL 3.</t>
  </si>
  <si>
    <t>Cheltuieli pentru proiectare si asistenta tehnica</t>
  </si>
  <si>
    <t>Studii de teren, geo-topo-hidro</t>
  </si>
  <si>
    <t>Cheltuieli pentru avize, acorduri, autorizatii, taxe</t>
  </si>
  <si>
    <t>Proiectare si engineering (4.1+4.4)*</t>
  </si>
  <si>
    <t>Cheltuieli privind organizarea licitatiilor (3.3)*</t>
  </si>
  <si>
    <t>Consultanta</t>
  </si>
  <si>
    <t>Asitenta tehnica</t>
  </si>
  <si>
    <t>TOTAL Cap.III:</t>
  </si>
  <si>
    <t>CAPITOLUL 4.</t>
  </si>
  <si>
    <t>Cheltuieli pentru investitia de baza</t>
  </si>
  <si>
    <t>Constructii, instalatii</t>
  </si>
  <si>
    <t>4.1.1</t>
  </si>
  <si>
    <t>Montaj utilaje tehnologice</t>
  </si>
  <si>
    <t>Utilaje, echipamente tehnologice si functionale cu montaj</t>
  </si>
  <si>
    <t>Utilaje fara montaj si echipamente de transport</t>
  </si>
  <si>
    <t>Dotari</t>
  </si>
  <si>
    <t>TOTAL Cap.IV:</t>
  </si>
  <si>
    <t>CAPITOLUL 5.</t>
  </si>
  <si>
    <t>Alte cheltuieli</t>
  </si>
  <si>
    <t>Organizare de santier</t>
  </si>
  <si>
    <t>5.1.1</t>
  </si>
  <si>
    <t>lucrari de constructii</t>
  </si>
  <si>
    <t>5.1.2</t>
  </si>
  <si>
    <t>cheltuieli conexe organizarii santierului</t>
  </si>
  <si>
    <t>Comisioane, taxe, cote legale, costuri de finantare</t>
  </si>
  <si>
    <t>5.2.1</t>
  </si>
  <si>
    <t>Comisioane, taxe, cote legale</t>
  </si>
  <si>
    <t>5.2.2</t>
  </si>
  <si>
    <t>Costul creditului</t>
  </si>
  <si>
    <t>TOTAL Cap.V:</t>
  </si>
  <si>
    <t>CAPITOLUL 6.</t>
  </si>
  <si>
    <t>Cheltuieli pentru darea in exploatare</t>
  </si>
  <si>
    <t>Pregatirea personalului de exploatare</t>
  </si>
  <si>
    <t>Probe tehnologice</t>
  </si>
  <si>
    <t>TOTAL Cap.VI:</t>
  </si>
  <si>
    <t>TOTAL:</t>
  </si>
  <si>
    <t>din care C+M:</t>
  </si>
  <si>
    <t>TOTAL GENERAL:</t>
  </si>
  <si>
    <t>-conform Aviz MLPAT nr.2156/2001</t>
  </si>
  <si>
    <t>-lucrari de consolidare</t>
  </si>
  <si>
    <t>-investitii noi, RK, extinderi, modernizari</t>
  </si>
  <si>
    <t>Terasamente</t>
  </si>
  <si>
    <t>Instalaţii electrice</t>
  </si>
  <si>
    <t>Instalaţii sanitare</t>
  </si>
  <si>
    <t>Instalaţii de încălzire</t>
  </si>
  <si>
    <t>Instalaţii de  climatizare, frig si vent</t>
  </si>
  <si>
    <t>Montaj utilaje şi echipamente tehnologice</t>
  </si>
  <si>
    <t xml:space="preserve">Utilaje şi echipamente tehnologice </t>
  </si>
  <si>
    <t>Utilaje şi echipamente de transport</t>
  </si>
  <si>
    <t>Dotări (mobilier si echipamente)</t>
  </si>
  <si>
    <t>SEF PROIECT,</t>
  </si>
  <si>
    <t>Deviz financiar  - RON</t>
  </si>
  <si>
    <t>Nr.crt.</t>
  </si>
  <si>
    <t>Specificatie</t>
  </si>
  <si>
    <t>Cheltuieli pentru avize, acorduri si autorizatii - total, din care:</t>
  </si>
  <si>
    <t>1. obtinerea/prelungirea valabilitatii ceritificatului de urbanism</t>
  </si>
  <si>
    <t>2. obtinerea/prelungirea valabilitatii autorizatiei de construire, obtinere autorizatii de scoatere din circuitul agricol</t>
  </si>
  <si>
    <t>3. obtinerea avizelor si acordurilor pentru racorduri si bransamente la retelele publice de apa, canalizare, gaze,termoficare, energie electrica, telefonie.</t>
  </si>
  <si>
    <t>4. obtinere aviz sanitar, sanitar-veterinar si fitosanitar</t>
  </si>
  <si>
    <t>5. obtinerea certificatului de nomenclatura stradala si adresa</t>
  </si>
  <si>
    <t>6. obtinerea numarului cadastral provizoriu si inregistrarea terenului in Cartea Funciara</t>
  </si>
  <si>
    <t>7. obtinerea avizului de aparare civila si PSI</t>
  </si>
  <si>
    <t>8. obtinerea acordului de mediu</t>
  </si>
  <si>
    <t>9. taxa pentru inspectia de stat in constructii</t>
  </si>
  <si>
    <t xml:space="preserve">10. cumpararea de patente si licente </t>
  </si>
  <si>
    <t>11. Alte avize si acorduri solicitate prin lege</t>
  </si>
  <si>
    <t>Proiectare si engineering - total, din care:</t>
  </si>
  <si>
    <t>1. Cheltuieli pentru elaborarea tuturor fazelor de proiectare - total, din care:</t>
  </si>
  <si>
    <t>a. studii teren (geologice, geotehnice, hidrogeologice, hidrologice, fotogrametrice, topografice, stabilitatea versantilor)</t>
  </si>
  <si>
    <t>c. proiect tehnic</t>
  </si>
  <si>
    <t>d. detalii de executie</t>
  </si>
  <si>
    <t>e. caiet de sarcini</t>
  </si>
  <si>
    <t>2. Documentatii necesare pentru obtinerea acordurilor, avizelor si autorizatiilor aferente obiectivului de investitii</t>
  </si>
  <si>
    <t>3. Documentatii urbanistice (carte funciara, studii de amplasament)</t>
  </si>
  <si>
    <t>4. Studii de impact</t>
  </si>
  <si>
    <t>5. Cheltuielile pentru expertiza tehnica efectuata pentru constructii incepute si neterminate sau care urmeaza a fi modificate prin proiect (modernizari, consolidari, etc.)</t>
  </si>
  <si>
    <t>Cheltuieli pentru consultanta - total, din care:</t>
  </si>
  <si>
    <t>1. plata serviciilor de consultanta la elaborarea memoriului justificativ, planului de afaceri sau a studiilor de piata.</t>
  </si>
  <si>
    <t>2. plata serviciilor de consultanta in domeniul managementului investitiei sau administrarea contractului de executie</t>
  </si>
  <si>
    <t>Cheltuieli pentru asistenta tehnica - total, din care:</t>
  </si>
  <si>
    <t>1. verificarea tehnica a proiectului pe specialitati</t>
  </si>
  <si>
    <t>2. asistenta tehnica din partea proiectantului pe parcursul implementarii proiectului</t>
  </si>
  <si>
    <t>Total valoare fara TVA</t>
  </si>
  <si>
    <t xml:space="preserve">Valoare TVA </t>
  </si>
  <si>
    <t>TOTAL DEVIZ FINANCIAR 1 (inclusiv TVA)</t>
  </si>
  <si>
    <t>-studiu de fezabilitate</t>
  </si>
  <si>
    <t>-detalii de executie</t>
  </si>
  <si>
    <t>-caiet de sarcini</t>
  </si>
  <si>
    <t>Intocmirea de fise tehnice</t>
  </si>
  <si>
    <t>-proiect tehnic (inclusiv PAC si POE)</t>
  </si>
  <si>
    <t>-taxa ISC - 0.1% si 0.7%</t>
  </si>
  <si>
    <t>Diriginte santier (1.2+1.3+capII+capIV+5.1.1+6.2)*</t>
  </si>
  <si>
    <t>Cheltuieli diverse si neprevazute (cap.II+4.1+4.2)*</t>
  </si>
  <si>
    <t>(1.2+1.3+cap.II+4.1+4.2+5.1.1+6.2)*</t>
  </si>
  <si>
    <t>(cap.I+cap.II+cap.IV)*</t>
  </si>
  <si>
    <t>VALOARE (fara TVA)</t>
  </si>
  <si>
    <t>TVA</t>
  </si>
  <si>
    <t>VALOARE (cu TVA)</t>
  </si>
  <si>
    <t>MII LEI</t>
  </si>
  <si>
    <t>Active necorporale</t>
  </si>
  <si>
    <t>PROIECTANT,</t>
  </si>
  <si>
    <t>BENEFICIAR,</t>
  </si>
  <si>
    <t>SC PRO-EM SRL COVASNA</t>
  </si>
  <si>
    <t>Valoare fără TVA (MII LEI)</t>
  </si>
  <si>
    <t>Construcţii : rezistenţă (structură de rezistenţă) şi arhitectură ( închideri exterioare, compartimentări, finisaje)</t>
  </si>
  <si>
    <t>Investitor:</t>
  </si>
  <si>
    <t>OBIECTIV:</t>
  </si>
  <si>
    <t xml:space="preserve">CENTRALIZATORUL </t>
  </si>
  <si>
    <t>cheltuielilor pe obiectiv</t>
  </si>
  <si>
    <t>Nr.cap/ subcap. Deviz general</t>
  </si>
  <si>
    <t>Denumirea capitolelor de cheltuieli</t>
  </si>
  <si>
    <t xml:space="preserve"> Valoare cheltuielilor/obiect,  exclusiv TVA</t>
  </si>
  <si>
    <t>MII EURO</t>
  </si>
  <si>
    <t>1.1 ……………………………………….</t>
  </si>
  <si>
    <t>Amenajari pentru protectia mediului si aducerea la starea initiala</t>
  </si>
  <si>
    <t>2.1 ……………………………………….</t>
  </si>
  <si>
    <t>Realizarea utilitatilor necesare obiectivului</t>
  </si>
  <si>
    <t>Studii de teren</t>
  </si>
  <si>
    <t>4.1 ……………………………………….</t>
  </si>
  <si>
    <t>Proiectare (numai in cazul in care obiectivul se realizeaza in sistemul "design&amp;build")</t>
  </si>
  <si>
    <t>Investitia de baza</t>
  </si>
  <si>
    <t>6.1 Constructii si instalatii</t>
  </si>
  <si>
    <t>6.2 Montaj utilaje tehnologice</t>
  </si>
  <si>
    <t>6.3 Utilaje, echipamente tehnologice si functionale cu montaj</t>
  </si>
  <si>
    <t>6.4 Utilaje fara montaj si echipamente de transport</t>
  </si>
  <si>
    <t>6.5 Dotari</t>
  </si>
  <si>
    <t>TOTAL  VALOARE ( exclusiv TVA)</t>
  </si>
  <si>
    <t>TOTAL VALOARE (cu TVA)</t>
  </si>
  <si>
    <t>cursul de referinta =</t>
  </si>
  <si>
    <t>lei/euro</t>
  </si>
  <si>
    <t>Nr.cap/ subcap.deviz obiect</t>
  </si>
  <si>
    <t>Cheltuieli pe categoria de lucrari</t>
  </si>
  <si>
    <t xml:space="preserve"> Valoare (exclusiv TVA)</t>
  </si>
  <si>
    <t>I.</t>
  </si>
  <si>
    <t>Lucrari de constructii si instalatii</t>
  </si>
  <si>
    <t>Instalaţii de utilizare gaze</t>
  </si>
  <si>
    <t>TOTAL  I.</t>
  </si>
  <si>
    <t>II.</t>
  </si>
  <si>
    <t>MONTAJ</t>
  </si>
  <si>
    <t>TOTAL  II.</t>
  </si>
  <si>
    <t>III.</t>
  </si>
  <si>
    <t>PROCURARE</t>
  </si>
  <si>
    <t>TOTAL III.</t>
  </si>
  <si>
    <t>TOTAL VALOARE (exclusiv TVA)</t>
  </si>
  <si>
    <t>CENTRALIZATORUL</t>
  </si>
  <si>
    <t>UM</t>
  </si>
  <si>
    <t>cantitate</t>
  </si>
  <si>
    <t>buc</t>
  </si>
  <si>
    <t xml:space="preserve">Denumirea </t>
  </si>
  <si>
    <t>Pret unitar       -lei/UM-</t>
  </si>
  <si>
    <t>Furnizorul (denumire, adresa, tel, fax)</t>
  </si>
  <si>
    <t>Fisa tehnica atasata</t>
  </si>
  <si>
    <t>LISTA</t>
  </si>
  <si>
    <t>Valoarea (exclusiv TVA)            -mii lei-</t>
  </si>
  <si>
    <t>Total cu TVA</t>
  </si>
  <si>
    <t>TOTAL in Euro (inclusiv TVA):</t>
  </si>
  <si>
    <t>Durata de execuţie</t>
  </si>
  <si>
    <t>Luna 1</t>
  </si>
  <si>
    <t>Luna 2</t>
  </si>
  <si>
    <t>Luna 3</t>
  </si>
  <si>
    <t>Luna 4</t>
  </si>
  <si>
    <t>Luna 5</t>
  </si>
  <si>
    <t>Luna 6</t>
  </si>
  <si>
    <t>Luna 7</t>
  </si>
  <si>
    <t>Luna 8</t>
  </si>
  <si>
    <t>Luna 9</t>
  </si>
  <si>
    <t>Luna 10</t>
  </si>
  <si>
    <t>Luna 11</t>
  </si>
  <si>
    <t>Luna 12</t>
  </si>
  <si>
    <t>Activitatea</t>
  </si>
  <si>
    <t>Receptia lucrarilor - Inaugurare</t>
  </si>
  <si>
    <t>XXXX</t>
  </si>
  <si>
    <t>GRAFICUL GENERAL</t>
  </si>
  <si>
    <t>de realizare a investitiei publice</t>
  </si>
  <si>
    <t xml:space="preserve">VALOARE           în MII LEI, TVA inclus </t>
  </si>
  <si>
    <t>cheltuielilor pe categorii de lucrari, pe obiecte</t>
  </si>
  <si>
    <t>cu cantitatile de utilaje si echipamente tehnologice</t>
  </si>
  <si>
    <t>Utilajul, echipamentul tehnologic:</t>
  </si>
  <si>
    <t>Specificatii tehnice impuse prin Caietul de sarcini</t>
  </si>
  <si>
    <t>Corespondenta propunerii tehnice cu specificatiile tehnice impuse prin Caietul de sarcini</t>
  </si>
  <si>
    <t>Producator</t>
  </si>
  <si>
    <t>Parametrii tehnici si functionali</t>
  </si>
  <si>
    <t>Specificatii de performanta si conditii privind siguranta in exploatare</t>
  </si>
  <si>
    <t>Conditii privind conformitatea cu standardele relevante</t>
  </si>
  <si>
    <t>Conditii de garantie si postgarantie</t>
  </si>
  <si>
    <t>Alte conditii cu caracter tehnic</t>
  </si>
  <si>
    <t>FISA TEHNICA Nr. U1</t>
  </si>
  <si>
    <t>Privind cheltuielile necesare realizarii investitiei:</t>
  </si>
  <si>
    <t>CONSTRUCTII SI INSTALATII</t>
  </si>
  <si>
    <t>FAZA: D.A.L.I.</t>
  </si>
  <si>
    <t>SEF PROIECT:</t>
  </si>
  <si>
    <t>Proiect nr.</t>
  </si>
  <si>
    <t>02/2009</t>
  </si>
  <si>
    <t>Consultanta - uzual 1.5% din valoare proiect</t>
  </si>
  <si>
    <t>b. documentatie de avizare a lucrarilor de interventii</t>
  </si>
  <si>
    <t>3. asigurarea supravegherii executiei prin diriginti de santier desemnati de solicitant</t>
  </si>
  <si>
    <t>Constructii si instalatii</t>
  </si>
  <si>
    <t>Cheltuieli pentru avize, acorduri, autorizatii, taxe; Cheltuieli privind organizarea licitatiilor</t>
  </si>
  <si>
    <t>cu cantitatile de dotari</t>
  </si>
  <si>
    <t>F5-D1</t>
  </si>
  <si>
    <t>PC</t>
  </si>
  <si>
    <t>Monitor LCD 19``</t>
  </si>
  <si>
    <t>Adaptor wireless USB</t>
  </si>
  <si>
    <t>Router Wireless</t>
  </si>
  <si>
    <t>UPS</t>
  </si>
  <si>
    <t>F5-D2</t>
  </si>
  <si>
    <t>Videoproiector</t>
  </si>
  <si>
    <t>F5-D3</t>
  </si>
  <si>
    <t>F5-D4</t>
  </si>
  <si>
    <t>F5-U1</t>
  </si>
  <si>
    <t>F5-U2</t>
  </si>
  <si>
    <t>F5-U3</t>
  </si>
  <si>
    <t>F5-U4</t>
  </si>
  <si>
    <t>F5-U5</t>
  </si>
  <si>
    <t>P05</t>
  </si>
  <si>
    <t>AMENAJARE INCUBATOR PENTRU AFACERI</t>
  </si>
  <si>
    <t>Laptop PC</t>
  </si>
  <si>
    <t>Vas expansiune inchis - capacitate 60L</t>
  </si>
  <si>
    <t>Pompa de recirculare - pompa centrifuge cu 3 trepte de putere; alimentare: 230V/50Hz; Q min= 0.6 mc/h; h=4.50m</t>
  </si>
  <si>
    <t>FISA TEHNICA Nr. D1</t>
  </si>
  <si>
    <t>F5-D5</t>
  </si>
  <si>
    <t>F5-D6</t>
  </si>
  <si>
    <t>F5-D7</t>
  </si>
  <si>
    <t>F5-D8</t>
  </si>
  <si>
    <t>F5-D9</t>
  </si>
  <si>
    <t>Centrala murala in condensatie 65KW, functionind cu gaz metan, KIT tubulatura evacuare gaze arse, Boiler ACM cu acumulare - capacitate 300L</t>
  </si>
  <si>
    <t>pachet</t>
  </si>
  <si>
    <t>Sonda NTC boiler (HT)</t>
  </si>
  <si>
    <t>Imprimantă, scanner, copiator A3 - color</t>
  </si>
  <si>
    <t>Imprimantă, scanner, copiator A4 - color</t>
  </si>
  <si>
    <t>Sistem compus din centrala termica in condensare 65kW putere generata si un boiler bivalent 300 SR 60 cu simpla serpentina si rezistenta electrica de 6kW integrata si o capacitate de 300L. Kit-ul de admisie/evacuare este inclus in pachet</t>
  </si>
  <si>
    <t>FISA TEHNICA Nr. U2</t>
  </si>
  <si>
    <t>FISA TEHNICA Nr. U3</t>
  </si>
  <si>
    <t>Pompe de recirculare</t>
  </si>
  <si>
    <t>FISA TEHNICA Nr. U4</t>
  </si>
  <si>
    <t>FISA TEHNICA Nr. U5</t>
  </si>
  <si>
    <t>Kit de racordare hidraulica cu separator</t>
  </si>
  <si>
    <t xml:space="preserve">Kit de racordare hidraulica cu separator. </t>
  </si>
  <si>
    <t xml:space="preserve">Pachetul contine:pompa de circulatie cazan, supapa de siguranta 3bar, supapa de sens, robinet tur, robinet retur, separator hidraulic, conector vas de expansiune.  </t>
  </si>
  <si>
    <t xml:space="preserve">Principalul avantaj consta in separarea circuiului termic de cazan eliminand limitarea circulatiei pe acesta ca urmare a solicitarilor din instalatie. </t>
  </si>
  <si>
    <t>Luna 13</t>
  </si>
  <si>
    <t>Luna 14</t>
  </si>
  <si>
    <t>Luna 15</t>
  </si>
  <si>
    <t>Luna 16</t>
  </si>
  <si>
    <t>Luna 17</t>
  </si>
  <si>
    <t>Luna 18</t>
  </si>
  <si>
    <t>Garantia sistem PC: 36 luni</t>
  </si>
  <si>
    <t>PLACA DE BAZA:Gigabyte Intel G41, s.775, FSB 1333, video, DVI-D, HDMI, GbLAN, 4xSATA 2, 1xPATA, 1xPCI-E(x16), 1xPCI-E(x1), 2xPCI, 4xDDRII 800, mATX, audio 7.1ch, up to 8xUSB, up to 2xIEEE 1394a, EG41MF-US2H,</t>
  </si>
  <si>
    <t xml:space="preserve"> PROCESOR:INTEL Pentium Dual Core E5300  2,6 GHz,  bus 800, s. 775, 2MB, BOX, MEMORIE: DDR II 2GB PC6400 800 MHz Kingmax, HARD DISK:320 GB WD Caviar Blue KS, Serial ATA2, 7200rpm, 16MB</t>
  </si>
  <si>
    <t>FISA TEHNICA Nr. D2</t>
  </si>
  <si>
    <t>Garantia: 36 luni</t>
  </si>
  <si>
    <t>FISA TEHNICA Nr. D3</t>
  </si>
  <si>
    <t>FISA TEHNICA Nr. D4</t>
  </si>
  <si>
    <t>HP Color LaserJet CM1312 MFP; A4, max 12ppm black, 8ppm color, max 600x600dpi, HP ImageREt 3600, 128MB, fpo 25.5sec black, 31.5sec color, HP PCL6, PCL5c, PostScript 3 emulation, tava 250coli, control panel LCD 2 linii, scanner: color flatbed, max 1200dpi optic, 24 bit adincime de culoare, 256 niveluri de gri, copy: max 12ppm black, 8ppm color, copii multiple 99, scalare 25-400%, USB2.0, tonere inceput 750pag, max. 30.000pag/luna; optional CB540A, CB541A, CB542A, CB543A</t>
  </si>
  <si>
    <t>FISA TEHNICA Nr. D5</t>
  </si>
  <si>
    <t>FISA TEHNICA Nr. D6</t>
  </si>
  <si>
    <t>FISA TEHNICA Nr. D7</t>
  </si>
  <si>
    <t>FISA TEHNICA Nr. D8</t>
  </si>
  <si>
    <t>FISA TEHNICA Nr. D9</t>
  </si>
  <si>
    <t xml:space="preserve">INSPIRON 1545, 15.6" Widescreen WXGA with TrueLife - WLED, 1.3MP webcam, Intel Pentium Dual Core T4200(2.0GHz,800MHz,1MB), memorie 3GB (1GB + 2GB) 800MHz DDR2, HDD 250GB (5400RPM), 8xDVDRW, Video 512MB ATI Mobility Radeon HD4330, Dell Wireless 1397 (802.11 b/g), Dell Bluetooth 365 Card, Battery Primary 6-cell, SO Ubuntu 8.10, Greutate 2.64Kg, 3 ani CIS service, Culoare Black Matte Finish </t>
  </si>
  <si>
    <t>APC Back-UPS CS, 500VA/300W, off-line</t>
  </si>
  <si>
    <t>Garantia: 24 luni</t>
  </si>
  <si>
    <t>Accesorii incluse: power cable, computer cable, Remote Control, User Manual, Password Protect Sticker,; Audio 1 Watt monaural; Nivel zgomot 35dB; putere consumata 231 W; rezolutie nativa SVGA (800x600); contrast 2000:1; luminozitate 2000; tehnologie 3LCD; durata de viata 3000-4000 ore; raport zoom 1.35x; distanta proiectare 0.87-10.5 m; lentile  f Number 1.44; dimensiuni 245x327x92; functii auto source Search, A/V Mute slide, e-zoom, user logo</t>
  </si>
  <si>
    <t>router, porturi Wireless Signal Range indoors Up to 100 m, Outdoors Up to 400 m, standarde IEEE802.11g; IEEE 802.11b; IEEE 802..3; IEEE 802.3u</t>
  </si>
  <si>
    <t>adaptor, porturi 1, standarde 802.11b/g, antena incorporata, indicator status</t>
  </si>
  <si>
    <t>Color LaserJet CM1312nfi MFP; A3, max 12ppm black, 8ppm color, max 600x600dpi, HP ImageREt 3600, 160MB, fpo 25.5sec black, 31.5sec color, HP PCL6, PCL5c, PostScript 3 emulation, tava 250coli, control panel LCD color 6.1cm, scanner: color flatbed, max 1200dpi optic, 24 bit adincime de culoare, 256 niveluri de gri, copy: max 12ppm black, 8ppm color, copii multiple 99, scalare 25-400%, fax : 33.6kbps Super G3, memorie 250 pag, ADF 50 coli, sloturi carduri de memorie, USB2.0 si Ethernet, tonere inceput 750pag, max. 30.000pag/luna; optional CB540A, CB541A, CB542A, CB543A</t>
  </si>
  <si>
    <t>LG 19" LG W1934S-BN, Wide, 5 ms, 1440x900, 300 cd/m2, 1000:1, 160/160, TCO-03, black</t>
  </si>
  <si>
    <t>Garantie: 8 ani</t>
  </si>
  <si>
    <t>Dezafectare C.T.</t>
  </si>
  <si>
    <t>Nr. crt</t>
  </si>
  <si>
    <t>Denumirea capitolelor şi subcapitolelor</t>
  </si>
  <si>
    <t>Cheltuieli neeligibile</t>
  </si>
  <si>
    <t>Cheltuieli eligibile</t>
  </si>
  <si>
    <t>(fără TVA)</t>
  </si>
  <si>
    <t>5 = X % * (3+4)</t>
  </si>
  <si>
    <t>Cap. 1 – Cheltuieli pentru achiziţionarea (exproprierea) terenului şi amenajări</t>
  </si>
  <si>
    <t>1.1.</t>
  </si>
  <si>
    <t>Achiziţionarea (exproprierea) terenului</t>
  </si>
  <si>
    <t>1.2.</t>
  </si>
  <si>
    <t>1.3.</t>
  </si>
  <si>
    <t>Amenajarea pentru protecţia mediului</t>
  </si>
  <si>
    <t>Total Capitol 1</t>
  </si>
  <si>
    <t>Cap. 2 – Asigurarea cu utilităţi</t>
  </si>
  <si>
    <t>2.1.</t>
  </si>
  <si>
    <t>Asigurarea cu utilităţi a obiectivului</t>
  </si>
  <si>
    <t>Total Capitol 2</t>
  </si>
  <si>
    <t>Cap. 3 – Cheltuieli pentru investiţii</t>
  </si>
  <si>
    <t>3.1.</t>
  </si>
  <si>
    <t>Construcţii şi instalaţii</t>
  </si>
  <si>
    <t>3.2.</t>
  </si>
  <si>
    <t>Dotarea cu echipamente</t>
  </si>
  <si>
    <t>Total Capitol 3</t>
  </si>
  <si>
    <t>Cap. 4 Cheltuieli pentru organizarea de şantier</t>
  </si>
  <si>
    <t>4.1.</t>
  </si>
  <si>
    <t>Organizarea de şantier</t>
  </si>
  <si>
    <t>Total Capitol 4</t>
  </si>
  <si>
    <t>Cap. 5 Cheltuieli diverse şi neprevăzute</t>
  </si>
  <si>
    <t>5.1.</t>
  </si>
  <si>
    <t>Cheltuieli diverse şi neprevăzute</t>
  </si>
  <si>
    <t>Total Capitol 5</t>
  </si>
  <si>
    <t>Cap. 6 Alte cheltuieli neeligibile</t>
  </si>
  <si>
    <t>6.1.</t>
  </si>
  <si>
    <t>e.g. cheltuieli cu elaborarea studiilor pregătitoare (SF, PT, Plan de afaceri), alte cheltuieli necesare proiectului, dar care nu se regăsesc în categoriile de cheltuieli eligibile, taxe diverse aferente implementării proiectului</t>
  </si>
  <si>
    <t>Total Capitol 6</t>
  </si>
  <si>
    <t>TOTAL</t>
  </si>
  <si>
    <t>TOTAL GENERAL</t>
  </si>
  <si>
    <t>Perioada inaintea semnarii Contractului de finantare</t>
  </si>
  <si>
    <t>Perioada de implementare dupa semnarea Contractului de finantare</t>
  </si>
  <si>
    <t>3.1 Bransament gaz metan</t>
  </si>
  <si>
    <t>Lucrari aferente post trafo</t>
  </si>
  <si>
    <t>TVA ( 24%)</t>
  </si>
  <si>
    <t xml:space="preserve">Cheltuieli diverse si neprevazute </t>
  </si>
  <si>
    <t>01-31.12.2009</t>
  </si>
  <si>
    <t>in mii lei/EURO la cursul INFOEURO lei/EURO:</t>
  </si>
  <si>
    <t>VALOARE SUB 1800 LEI</t>
  </si>
  <si>
    <t>VALOARE PESTE 1800 LEI</t>
  </si>
  <si>
    <t>MUNICIPIUL TARGU SECUIESC</t>
  </si>
  <si>
    <t>Asigurare utilitati</t>
  </si>
  <si>
    <t>Denumirea capitolelor și subcapitolelor de cheltuieli</t>
  </si>
  <si>
    <t>Valoare (fără TVA)</t>
  </si>
  <si>
    <t>Valoare (inclusiv TVA)</t>
  </si>
  <si>
    <t xml:space="preserve"> </t>
  </si>
  <si>
    <t>Mii lei</t>
  </si>
  <si>
    <t>Mii euro</t>
  </si>
  <si>
    <t>I. LUCRĂRI DE CONSTRUCȚII</t>
  </si>
  <si>
    <t>Construcţii : rezistenţă (fundaţii, structură de rezistenţă) şi arhitectură ( închideri exterioare, compartimentări, finisaje)</t>
  </si>
  <si>
    <t>Izolaţii</t>
  </si>
  <si>
    <t>Instalaţii de încălzire, ventilație, climatizare, PSI, radio-tv, intranet</t>
  </si>
  <si>
    <t>Instalaţii de alimentare cu gaze naturale</t>
  </si>
  <si>
    <t>Instalații de telecomunicații</t>
  </si>
  <si>
    <t>TOTAL  I</t>
  </si>
  <si>
    <t>II.  MONTAJ</t>
  </si>
  <si>
    <t>TOTAL  II</t>
  </si>
  <si>
    <t>III. PROCURARE</t>
  </si>
  <si>
    <t>Utilaje și echipamente tehnologice</t>
  </si>
  <si>
    <t>TOTAL III</t>
  </si>
  <si>
    <t>TOTAL ( TOTAL I + TOTAL II +TOTAL III)</t>
  </si>
  <si>
    <t>ing.</t>
  </si>
  <si>
    <t xml:space="preserve"> DEVIZUL OBIECTULUI - LUCRARI LA POSTUL TRAFO</t>
  </si>
  <si>
    <t>În mii lei/mii euro la cursul Infoeuro 4,2788 lei/euro din 01-30.12.2009</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</si>
</sst>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0.0000"/>
    <numFmt numFmtId="175" formatCode="_-* #,##0.00_-;\-* #,##0.00_-;_-* &quot;-&quot;??_-;_-@_-"/>
    <numFmt numFmtId="176" formatCode="_-* #,##0_-;\-* #,##0_-;_-* &quot;-&quot;??_-;_-@_-"/>
    <numFmt numFmtId="177" formatCode="_(* #,##0.0000_);_(* \(#,##0.0000\);_(* &quot;-&quot;??_);_(@_)"/>
    <numFmt numFmtId="178" formatCode="[$-409]d/mmm/yy;@"/>
    <numFmt numFmtId="179" formatCode="0.0000"/>
    <numFmt numFmtId="180" formatCode="0.00000"/>
    <numFmt numFmtId="181" formatCode="_(* #,##0.00000_);_(* \(#,##0.00000\);_(* &quot;-&quot;??_);_(@_)"/>
    <numFmt numFmtId="182" formatCode="#,##0.000"/>
    <numFmt numFmtId="183" formatCode="_-* #,##0.000000\ _l_e_i_-;\-* #,##0.000000\ _l_e_i_-;_-* &quot;-&quot;??\ _l_e_i_-;_-@_-"/>
    <numFmt numFmtId="184" formatCode="_(* #,##0.00000_);_(* \(#,##0.00000\);_(* &quot;-&quot;_);_(@_)"/>
    <numFmt numFmtId="185" formatCode="#,##0.00000"/>
  </numFmts>
  <fonts count="62">
    <font>
      <sz val="12"/>
      <name val="Times New Roman CE"/>
      <family val="0"/>
    </font>
    <font>
      <b/>
      <sz val="12"/>
      <name val="Times New Roman CE"/>
      <family val="0"/>
    </font>
    <font>
      <i/>
      <sz val="12"/>
      <name val="Times New Roman CE"/>
      <family val="0"/>
    </font>
    <font>
      <b/>
      <i/>
      <sz val="12"/>
      <name val="Times New Roman CE"/>
      <family val="0"/>
    </font>
    <font>
      <u val="single"/>
      <sz val="11.65"/>
      <color indexed="36"/>
      <name val="Times New Roman CE"/>
      <family val="0"/>
    </font>
    <font>
      <u val="single"/>
      <sz val="11.65"/>
      <color indexed="12"/>
      <name val="Times New Roman CE"/>
      <family val="0"/>
    </font>
    <font>
      <b/>
      <sz val="8"/>
      <name val="Tahoma"/>
      <family val="2"/>
    </font>
    <font>
      <sz val="8"/>
      <name val="Tahoma"/>
      <family val="2"/>
    </font>
    <font>
      <b/>
      <sz val="12"/>
      <color indexed="9"/>
      <name val="Arial"/>
      <family val="2"/>
    </font>
    <font>
      <sz val="8"/>
      <name val="Arial"/>
      <family val="2"/>
    </font>
    <font>
      <sz val="10"/>
      <color indexed="21"/>
      <name val="Arial"/>
      <family val="2"/>
    </font>
    <font>
      <sz val="10"/>
      <name val="Arial"/>
      <family val="2"/>
    </font>
    <font>
      <b/>
      <u val="single"/>
      <sz val="12"/>
      <color indexed="21"/>
      <name val="Arial"/>
      <family val="2"/>
    </font>
    <font>
      <b/>
      <sz val="14"/>
      <name val="Arial"/>
      <family val="2"/>
    </font>
    <font>
      <b/>
      <sz val="12"/>
      <name val="Arial"/>
      <family val="2"/>
    </font>
    <font>
      <sz val="10"/>
      <color indexed="21"/>
      <name val="Arial CE"/>
      <family val="2"/>
    </font>
    <font>
      <sz val="12"/>
      <color indexed="60"/>
      <name val="Arial"/>
      <family val="2"/>
    </font>
    <font>
      <b/>
      <sz val="14"/>
      <color indexed="9"/>
      <name val="Arial"/>
      <family val="2"/>
    </font>
    <font>
      <b/>
      <sz val="10"/>
      <name val="Arial"/>
      <family val="2"/>
    </font>
    <font>
      <b/>
      <i/>
      <sz val="10"/>
      <name val="Arial"/>
      <family val="2"/>
    </font>
    <font>
      <sz val="10"/>
      <color indexed="10"/>
      <name val="Arial"/>
      <family val="2"/>
    </font>
    <font>
      <i/>
      <sz val="10"/>
      <name val="Arial"/>
      <family val="2"/>
    </font>
    <font>
      <b/>
      <sz val="12"/>
      <color indexed="8"/>
      <name val="Arial"/>
      <family val="2"/>
    </font>
    <font>
      <b/>
      <sz val="8"/>
      <color indexed="8"/>
      <name val="Arial"/>
      <family val="2"/>
    </font>
    <font>
      <sz val="8"/>
      <color indexed="8"/>
      <name val="Arial"/>
      <family val="2"/>
    </font>
    <font>
      <sz val="12"/>
      <color indexed="10"/>
      <name val="Times New Roman CE"/>
      <family val="0"/>
    </font>
    <font>
      <b/>
      <i/>
      <sz val="8"/>
      <color indexed="8"/>
      <name val="Arial"/>
      <family val="2"/>
    </font>
    <font>
      <sz val="12"/>
      <name val="Arial"/>
      <family val="2"/>
    </font>
    <font>
      <sz val="14"/>
      <name val="Arial"/>
      <family val="2"/>
    </font>
    <font>
      <b/>
      <sz val="10"/>
      <color indexed="10"/>
      <name val="Arial"/>
      <family val="2"/>
    </font>
    <font>
      <b/>
      <sz val="9"/>
      <name val="Arial"/>
      <family val="2"/>
    </font>
    <font>
      <sz val="9"/>
      <name val="Arial"/>
      <family val="2"/>
    </font>
    <font>
      <b/>
      <u val="single"/>
      <sz val="9"/>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rebuchet MS"/>
      <family val="2"/>
    </font>
    <font>
      <i/>
      <sz val="9"/>
      <name val="Trebuchet MS"/>
      <family val="2"/>
    </font>
    <font>
      <sz val="10"/>
      <name val="Trebuchet MS"/>
      <family val="2"/>
    </font>
    <font>
      <i/>
      <sz val="10"/>
      <name val="Trebuchet MS"/>
      <family val="2"/>
    </font>
    <font>
      <b/>
      <i/>
      <sz val="10"/>
      <name val="Trebuchet MS"/>
      <family val="2"/>
    </font>
    <font>
      <sz val="10"/>
      <name val="Times New Roman"/>
      <family val="1"/>
    </font>
    <font>
      <b/>
      <sz val="10"/>
      <name val="Times New Roman"/>
      <family val="1"/>
    </font>
    <font>
      <sz val="12"/>
      <color indexed="10"/>
      <name val="Arial"/>
      <family val="2"/>
    </font>
    <font>
      <b/>
      <sz val="12"/>
      <color indexed="10"/>
      <name val="Arial"/>
      <family val="2"/>
    </font>
    <font>
      <sz val="9"/>
      <color indexed="10"/>
      <name val="Arial"/>
      <family val="2"/>
    </font>
    <font>
      <b/>
      <sz val="8"/>
      <name val="Times New Roman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1"/>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3"/>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9"/>
      </left>
      <right>
        <color indexed="63"/>
      </right>
      <top style="thin">
        <color indexed="9"/>
      </top>
      <bottom>
        <color indexed="63"/>
      </bottom>
    </border>
    <border>
      <left style="thin">
        <color indexed="60"/>
      </left>
      <right style="thin">
        <color indexed="60"/>
      </right>
      <top style="thin">
        <color indexed="60"/>
      </top>
      <bottom style="thin">
        <color indexed="6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16"/>
      </left>
      <right style="thin">
        <color indexed="16"/>
      </right>
      <top style="thin">
        <color indexed="16"/>
      </top>
      <bottom style="thin">
        <color indexed="16"/>
      </bottom>
    </border>
    <border>
      <left style="thin">
        <color indexed="16"/>
      </left>
      <right>
        <color indexed="63"/>
      </right>
      <top style="thin">
        <color indexed="16"/>
      </top>
      <bottom>
        <color indexed="63"/>
      </bottom>
    </border>
    <border>
      <left style="hair">
        <color indexed="21"/>
      </left>
      <right style="hair">
        <color indexed="21"/>
      </right>
      <top style="hair">
        <color indexed="21"/>
      </top>
      <bottom style="hair">
        <color indexed="21"/>
      </bottom>
    </border>
    <border>
      <left>
        <color indexed="63"/>
      </left>
      <right>
        <color indexed="63"/>
      </right>
      <top>
        <color indexed="63"/>
      </top>
      <bottom style="double">
        <color indexed="52"/>
      </bottom>
    </border>
    <border>
      <left style="hair">
        <color indexed="9"/>
      </left>
      <right>
        <color indexed="63"/>
      </right>
      <top style="hair">
        <color indexed="9"/>
      </top>
      <bottom style="hair">
        <color indexed="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1"/>
      </left>
      <right>
        <color indexed="63"/>
      </right>
      <top style="thin">
        <color indexed="21"/>
      </top>
      <bottom style="thin">
        <color indexed="21"/>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dotted"/>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style="thin"/>
      <bottom style="dotted"/>
    </border>
    <border>
      <left style="thin"/>
      <right style="thin"/>
      <top style="thin"/>
      <bottom>
        <color indexed="63"/>
      </bottom>
    </border>
    <border>
      <left style="thin"/>
      <right>
        <color indexed="63"/>
      </right>
      <top>
        <color indexed="63"/>
      </top>
      <bottom style="thin"/>
    </border>
    <border>
      <left>
        <color indexed="63"/>
      </left>
      <right>
        <color indexed="63"/>
      </right>
      <top style="dotted"/>
      <bottom>
        <color indexed="63"/>
      </bottom>
    </border>
    <border>
      <left style="hair">
        <color indexed="21"/>
      </left>
      <right style="thin">
        <color indexed="21"/>
      </right>
      <top style="hair">
        <color indexed="21"/>
      </top>
      <bottom style="hair">
        <color indexed="21"/>
      </bottom>
    </border>
    <border>
      <left style="hair">
        <color indexed="21"/>
      </left>
      <right style="hair">
        <color indexed="21"/>
      </right>
      <top style="hair">
        <color indexed="21"/>
      </top>
      <bottom>
        <color indexed="63"/>
      </bottom>
    </border>
    <border>
      <left style="hair">
        <color indexed="21"/>
      </left>
      <right style="thin">
        <color indexed="21"/>
      </right>
      <top style="hair">
        <color indexed="21"/>
      </top>
      <bottom>
        <color indexed="63"/>
      </bottom>
    </border>
    <border>
      <left style="thin">
        <color indexed="21"/>
      </left>
      <right style="hair">
        <color indexed="21"/>
      </right>
      <top style="thin">
        <color indexed="21"/>
      </top>
      <bottom style="thin">
        <color indexed="21"/>
      </bottom>
    </border>
    <border>
      <left style="hair">
        <color indexed="21"/>
      </left>
      <right style="hair">
        <color indexed="21"/>
      </right>
      <top style="thin">
        <color indexed="21"/>
      </top>
      <bottom style="thin">
        <color indexed="21"/>
      </bottom>
    </border>
    <border>
      <left style="hair">
        <color indexed="21"/>
      </left>
      <right style="thin">
        <color indexed="21"/>
      </right>
      <top style="thin">
        <color indexed="21"/>
      </top>
      <bottom style="thin">
        <color indexed="21"/>
      </bottom>
    </border>
    <border>
      <left style="hair">
        <color indexed="21"/>
      </left>
      <right style="hair">
        <color indexed="21"/>
      </right>
      <top>
        <color indexed="63"/>
      </top>
      <bottom style="hair">
        <color indexed="21"/>
      </bottom>
    </border>
    <border>
      <left style="hair">
        <color indexed="21"/>
      </left>
      <right style="thin">
        <color indexed="21"/>
      </right>
      <top>
        <color indexed="63"/>
      </top>
      <bottom style="hair">
        <color indexed="21"/>
      </bottom>
    </border>
    <border>
      <left>
        <color indexed="63"/>
      </left>
      <right style="medium">
        <color indexed="63"/>
      </right>
      <top style="medium">
        <color indexed="63"/>
      </top>
      <bottom>
        <color indexed="63"/>
      </bottom>
    </border>
    <border>
      <left>
        <color indexed="63"/>
      </left>
      <right style="medium">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style="medium">
        <color indexed="63"/>
      </right>
      <top>
        <color indexed="63"/>
      </top>
      <bottom style="dotted"/>
    </border>
    <border>
      <left>
        <color indexed="63"/>
      </left>
      <right style="medium">
        <color indexed="63"/>
      </right>
      <top>
        <color indexed="63"/>
      </top>
      <bottom style="dotted"/>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medium">
        <color indexed="63"/>
      </left>
      <right>
        <color indexed="63"/>
      </right>
      <top style="dotted"/>
      <bottom style="medium">
        <color indexed="63"/>
      </bottom>
    </border>
    <border>
      <left>
        <color indexed="63"/>
      </left>
      <right style="medium">
        <color indexed="63"/>
      </right>
      <top style="dotted"/>
      <bottom style="medium">
        <color indexed="63"/>
      </bottom>
    </border>
    <border>
      <left style="medium">
        <color indexed="63"/>
      </left>
      <right>
        <color indexed="63"/>
      </right>
      <top style="medium">
        <color indexed="63"/>
      </top>
      <bottom style="dotted"/>
    </border>
    <border>
      <left>
        <color indexed="63"/>
      </left>
      <right>
        <color indexed="63"/>
      </right>
      <top style="medium">
        <color indexed="63"/>
      </top>
      <bottom style="dotted"/>
    </border>
    <border>
      <left>
        <color indexed="63"/>
      </left>
      <right style="medium">
        <color indexed="63"/>
      </right>
      <top style="medium">
        <color indexed="63"/>
      </top>
      <bottom style="dotted"/>
    </border>
    <border>
      <left style="medium">
        <color indexed="63"/>
      </left>
      <right style="medium">
        <color indexed="63"/>
      </right>
      <top style="medium">
        <color indexed="63"/>
      </top>
      <botto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thin">
        <color indexed="21"/>
      </left>
      <right style="hair">
        <color indexed="21"/>
      </right>
      <top style="hair">
        <color indexed="21"/>
      </top>
      <bottom style="hair">
        <color indexed="21"/>
      </bottom>
    </border>
    <border>
      <left style="thin">
        <color indexed="21"/>
      </left>
      <right style="hair">
        <color indexed="21"/>
      </right>
      <top style="hair">
        <color indexed="21"/>
      </top>
      <bottom>
        <color indexed="63"/>
      </bottom>
    </border>
    <border>
      <left style="thin">
        <color indexed="21"/>
      </left>
      <right style="hair">
        <color indexed="21"/>
      </right>
      <top>
        <color indexed="63"/>
      </top>
      <bottom style="hair">
        <color indexed="21"/>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8" fillId="21" borderId="2" applyBorder="0">
      <alignment horizontal="center" vertical="center"/>
      <protection/>
    </xf>
    <xf numFmtId="0" fontId="9" fillId="0" borderId="3" applyNumberFormat="0" applyFont="0" applyFill="0" applyAlignment="0" applyProtection="0"/>
    <xf numFmtId="0" fontId="10" fillId="22" borderId="0" applyFill="0" applyBorder="0">
      <alignment horizontal="justify" vertical="top" wrapText="1"/>
      <protection/>
    </xf>
    <xf numFmtId="0" fontId="39" fillId="23"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9" fontId="12" fillId="22" borderId="0" applyNumberFormat="0" applyFill="0">
      <alignment horizontal="left" vertical="center" wrapText="1"/>
      <protection/>
    </xf>
    <xf numFmtId="0" fontId="40" fillId="0" borderId="0" applyNumberFormat="0" applyFill="0" applyBorder="0" applyAlignment="0" applyProtection="0"/>
    <xf numFmtId="0" fontId="4" fillId="0" borderId="0" applyNumberFormat="0" applyFill="0" applyBorder="0" applyAlignment="0" applyProtection="0"/>
    <xf numFmtId="0" fontId="41" fillId="4"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4" fontId="13" fillId="24" borderId="8">
      <alignment horizontal="right" vertical="center"/>
      <protection locked="0"/>
    </xf>
    <xf numFmtId="1" fontId="13" fillId="24" borderId="9" applyBorder="0">
      <alignment horizontal="center" vertical="center"/>
      <protection locked="0"/>
    </xf>
    <xf numFmtId="49" fontId="13" fillId="24" borderId="8">
      <alignment horizontal="left" vertical="center"/>
      <protection locked="0"/>
    </xf>
    <xf numFmtId="0" fontId="14" fillId="24" borderId="8">
      <alignment horizontal="left" vertical="center" wrapText="1"/>
      <protection locked="0"/>
    </xf>
    <xf numFmtId="175" fontId="10" fillId="24" borderId="10" applyNumberFormat="0" applyBorder="0">
      <alignment/>
      <protection locked="0"/>
    </xf>
    <xf numFmtId="0" fontId="45" fillId="0" borderId="11" applyNumberFormat="0" applyFill="0" applyAlignment="0" applyProtection="0"/>
    <xf numFmtId="0" fontId="13" fillId="7" borderId="8">
      <alignment horizontal="right" vertical="center"/>
      <protection/>
    </xf>
    <xf numFmtId="0" fontId="46" fillId="25" borderId="0" applyNumberFormat="0" applyBorder="0" applyAlignment="0" applyProtection="0"/>
    <xf numFmtId="0" fontId="11" fillId="0" borderId="0">
      <alignment/>
      <protection/>
    </xf>
    <xf numFmtId="0" fontId="10" fillId="24" borderId="12">
      <alignment horizontal="center"/>
      <protection/>
    </xf>
    <xf numFmtId="0" fontId="11" fillId="0" borderId="0">
      <alignment/>
      <protection/>
    </xf>
    <xf numFmtId="0" fontId="11" fillId="0" borderId="0">
      <alignment/>
      <protection/>
    </xf>
    <xf numFmtId="0" fontId="11" fillId="0" borderId="0">
      <alignment/>
      <protection/>
    </xf>
    <xf numFmtId="0" fontId="15" fillId="22" borderId="0" applyBorder="0">
      <alignment horizontal="left" vertical="top"/>
      <protection/>
    </xf>
    <xf numFmtId="0" fontId="16" fillId="7" borderId="0">
      <alignment horizontal="right" vertical="center"/>
      <protection/>
    </xf>
    <xf numFmtId="0" fontId="0" fillId="26" borderId="13" applyNumberFormat="0" applyFont="0" applyAlignment="0" applyProtection="0"/>
    <xf numFmtId="0" fontId="47" fillId="20" borderId="14"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49" fontId="17" fillId="21" borderId="16" applyNumberFormat="0" applyBorder="0">
      <alignment horizontal="left" vertical="center"/>
      <protection/>
    </xf>
    <xf numFmtId="0" fontId="50" fillId="0" borderId="0" applyNumberFormat="0" applyFill="0" applyBorder="0" applyAlignment="0" applyProtection="0"/>
  </cellStyleXfs>
  <cellXfs count="481">
    <xf numFmtId="0" fontId="0" fillId="0" borderId="0" xfId="0" applyAlignment="1">
      <alignment/>
    </xf>
    <xf numFmtId="0" fontId="0" fillId="0" borderId="0" xfId="0" applyAlignment="1" quotePrefix="1">
      <alignment/>
    </xf>
    <xf numFmtId="173" fontId="0" fillId="0" borderId="0" xfId="0" applyNumberFormat="1" applyBorder="1" applyAlignment="1">
      <alignment/>
    </xf>
    <xf numFmtId="0" fontId="0" fillId="0" borderId="0" xfId="0" applyBorder="1" applyAlignment="1">
      <alignment/>
    </xf>
    <xf numFmtId="0" fontId="11" fillId="0" borderId="0" xfId="71">
      <alignment/>
      <protection/>
    </xf>
    <xf numFmtId="0" fontId="11" fillId="0" borderId="0" xfId="70" applyBorder="1">
      <alignment/>
      <protection/>
    </xf>
    <xf numFmtId="4" fontId="18" fillId="0" borderId="0" xfId="70" applyNumberFormat="1" applyFont="1" applyBorder="1" applyAlignment="1">
      <alignment/>
      <protection/>
    </xf>
    <xf numFmtId="4" fontId="18" fillId="0" borderId="17" xfId="70" applyNumberFormat="1" applyFont="1" applyBorder="1" applyAlignment="1">
      <alignment horizontal="center" wrapText="1"/>
      <protection/>
    </xf>
    <xf numFmtId="3" fontId="18" fillId="0" borderId="18" xfId="70" applyNumberFormat="1" applyFont="1" applyBorder="1" applyAlignment="1">
      <alignment horizontal="center" wrapText="1"/>
      <protection/>
    </xf>
    <xf numFmtId="0" fontId="18" fillId="0" borderId="17" xfId="70" applyFont="1" applyBorder="1" applyAlignment="1">
      <alignment wrapText="1"/>
      <protection/>
    </xf>
    <xf numFmtId="4" fontId="18" fillId="0" borderId="17" xfId="70" applyNumberFormat="1" applyFont="1" applyBorder="1" applyAlignment="1">
      <alignment wrapText="1"/>
      <protection/>
    </xf>
    <xf numFmtId="3" fontId="18" fillId="0" borderId="18" xfId="70" applyNumberFormat="1" applyFont="1" applyBorder="1" applyAlignment="1">
      <alignment wrapText="1"/>
      <protection/>
    </xf>
    <xf numFmtId="0" fontId="11" fillId="0" borderId="19" xfId="70" applyBorder="1" applyAlignment="1">
      <alignment wrapText="1"/>
      <protection/>
    </xf>
    <xf numFmtId="0" fontId="11" fillId="0" borderId="17" xfId="70" applyBorder="1" applyAlignment="1">
      <alignment wrapText="1"/>
      <protection/>
    </xf>
    <xf numFmtId="4" fontId="11" fillId="0" borderId="17" xfId="70" applyNumberFormat="1" applyBorder="1" applyAlignment="1">
      <alignment wrapText="1"/>
      <protection/>
    </xf>
    <xf numFmtId="0" fontId="11" fillId="0" borderId="19" xfId="70" applyBorder="1" applyAlignment="1">
      <alignment vertical="top" wrapText="1"/>
      <protection/>
    </xf>
    <xf numFmtId="4" fontId="11" fillId="0" borderId="17" xfId="70" applyNumberFormat="1" applyFill="1" applyBorder="1" applyAlignment="1">
      <alignment wrapText="1"/>
      <protection/>
    </xf>
    <xf numFmtId="0" fontId="11" fillId="0" borderId="17" xfId="70" applyFont="1" applyBorder="1" applyAlignment="1">
      <alignment wrapText="1"/>
      <protection/>
    </xf>
    <xf numFmtId="4" fontId="11" fillId="0" borderId="17" xfId="70" applyNumberFormat="1" applyFont="1" applyBorder="1" applyAlignment="1">
      <alignment wrapText="1"/>
      <protection/>
    </xf>
    <xf numFmtId="0" fontId="18" fillId="0" borderId="0" xfId="71" applyFont="1">
      <alignment/>
      <protection/>
    </xf>
    <xf numFmtId="4" fontId="11" fillId="0" borderId="0" xfId="71" applyNumberFormat="1">
      <alignment/>
      <protection/>
    </xf>
    <xf numFmtId="4" fontId="19" fillId="0" borderId="17" xfId="70" applyNumberFormat="1" applyFont="1" applyBorder="1" applyAlignment="1">
      <alignment wrapText="1"/>
      <protection/>
    </xf>
    <xf numFmtId="4" fontId="21" fillId="0" borderId="17" xfId="70" applyNumberFormat="1" applyFont="1" applyBorder="1" applyAlignment="1">
      <alignment wrapText="1"/>
      <protection/>
    </xf>
    <xf numFmtId="3" fontId="11" fillId="0" borderId="0" xfId="71" applyNumberFormat="1">
      <alignment/>
      <protection/>
    </xf>
    <xf numFmtId="4" fontId="11" fillId="0" borderId="0" xfId="70" applyNumberFormat="1" applyFont="1" applyBorder="1" applyAlignment="1">
      <alignment horizontal="right"/>
      <protection/>
    </xf>
    <xf numFmtId="0" fontId="24" fillId="0" borderId="10" xfId="68" applyFont="1" applyFill="1" applyBorder="1" applyAlignment="1">
      <alignment horizontal="left" vertical="center" wrapText="1"/>
      <protection/>
    </xf>
    <xf numFmtId="171" fontId="11" fillId="0" borderId="0" xfId="45" applyFont="1" applyAlignment="1">
      <alignment/>
    </xf>
    <xf numFmtId="171" fontId="11" fillId="0" borderId="0" xfId="71" applyNumberFormat="1">
      <alignment/>
      <protection/>
    </xf>
    <xf numFmtId="0" fontId="23" fillId="0" borderId="10" xfId="68" applyFont="1" applyFill="1" applyBorder="1" applyAlignment="1">
      <alignment horizontal="left" vertical="top" wrapText="1"/>
      <protection/>
    </xf>
    <xf numFmtId="0" fontId="24" fillId="0" borderId="10" xfId="68" applyFont="1" applyFill="1" applyBorder="1" applyAlignment="1">
      <alignment horizontal="left" vertical="top" wrapText="1"/>
      <protection/>
    </xf>
    <xf numFmtId="10" fontId="11" fillId="0" borderId="0" xfId="71" applyNumberFormat="1">
      <alignment/>
      <protection/>
    </xf>
    <xf numFmtId="0" fontId="23" fillId="0" borderId="10" xfId="68" applyFont="1" applyFill="1" applyBorder="1" applyAlignment="1">
      <alignment vertical="center" wrapText="1"/>
      <protection/>
    </xf>
    <xf numFmtId="0" fontId="24" fillId="0" borderId="10" xfId="68" applyFont="1" applyFill="1" applyBorder="1" applyAlignment="1">
      <alignment vertical="center" wrapText="1"/>
      <protection/>
    </xf>
    <xf numFmtId="9" fontId="11" fillId="0" borderId="0" xfId="71" applyNumberFormat="1">
      <alignment/>
      <protection/>
    </xf>
    <xf numFmtId="0" fontId="11" fillId="0" borderId="0" xfId="71" applyAlignment="1">
      <alignment horizontal="right"/>
      <protection/>
    </xf>
    <xf numFmtId="173" fontId="0" fillId="0" borderId="20" xfId="0" applyNumberFormat="1" applyBorder="1" applyAlignment="1">
      <alignment/>
    </xf>
    <xf numFmtId="171" fontId="25" fillId="0" borderId="0" xfId="0" applyNumberFormat="1" applyFont="1" applyAlignment="1" quotePrefix="1">
      <alignment/>
    </xf>
    <xf numFmtId="173" fontId="1" fillId="25" borderId="0" xfId="0" applyNumberFormat="1" applyFont="1" applyFill="1" applyBorder="1" applyAlignment="1">
      <alignment/>
    </xf>
    <xf numFmtId="171" fontId="1" fillId="4" borderId="0" xfId="45" applyFont="1" applyFill="1" applyBorder="1" applyAlignment="1">
      <alignment/>
    </xf>
    <xf numFmtId="171" fontId="1" fillId="4" borderId="0" xfId="0" applyNumberFormat="1" applyFont="1" applyFill="1" applyAlignment="1" quotePrefix="1">
      <alignment/>
    </xf>
    <xf numFmtId="171" fontId="1" fillId="4" borderId="20" xfId="0" applyNumberFormat="1" applyFont="1" applyFill="1" applyBorder="1" applyAlignment="1" quotePrefix="1">
      <alignment/>
    </xf>
    <xf numFmtId="171" fontId="1" fillId="4" borderId="0" xfId="0" applyNumberFormat="1" applyFont="1" applyFill="1" applyAlignment="1">
      <alignment/>
    </xf>
    <xf numFmtId="9" fontId="1" fillId="25" borderId="0" xfId="0" applyNumberFormat="1" applyFont="1" applyFill="1" applyAlignment="1">
      <alignment/>
    </xf>
    <xf numFmtId="171" fontId="11" fillId="0" borderId="18" xfId="45" applyFont="1" applyBorder="1" applyAlignment="1">
      <alignment wrapText="1"/>
    </xf>
    <xf numFmtId="0" fontId="27" fillId="0" borderId="0" xfId="0" applyFont="1" applyBorder="1" applyAlignment="1">
      <alignment/>
    </xf>
    <xf numFmtId="0" fontId="28" fillId="0" borderId="0" xfId="0" applyFont="1" applyBorder="1" applyAlignment="1">
      <alignment horizontal="right"/>
    </xf>
    <xf numFmtId="0" fontId="27" fillId="0" borderId="0" xfId="0" applyFont="1" applyBorder="1" applyAlignment="1">
      <alignment horizontal="center"/>
    </xf>
    <xf numFmtId="0" fontId="18" fillId="0" borderId="0" xfId="71" applyFont="1" applyAlignment="1">
      <alignment/>
      <protection/>
    </xf>
    <xf numFmtId="0" fontId="14" fillId="0" borderId="0" xfId="70" applyFont="1" applyFill="1" applyBorder="1" applyAlignment="1">
      <alignment horizontal="center"/>
      <protection/>
    </xf>
    <xf numFmtId="0" fontId="14" fillId="0" borderId="0" xfId="70" applyFont="1" applyFill="1" applyBorder="1" applyAlignment="1">
      <alignment/>
      <protection/>
    </xf>
    <xf numFmtId="0" fontId="18" fillId="0" borderId="21" xfId="70" applyFont="1" applyBorder="1" applyAlignment="1">
      <alignment horizontal="center" vertical="center" wrapText="1"/>
      <protection/>
    </xf>
    <xf numFmtId="0" fontId="18" fillId="0" borderId="22" xfId="70" applyFont="1" applyBorder="1" applyAlignment="1">
      <alignment horizontal="center" vertical="center" wrapText="1"/>
      <protection/>
    </xf>
    <xf numFmtId="1" fontId="18" fillId="0" borderId="19" xfId="70" applyNumberFormat="1" applyFont="1" applyBorder="1" applyAlignment="1">
      <alignment horizontal="center" wrapText="1"/>
      <protection/>
    </xf>
    <xf numFmtId="1" fontId="18" fillId="0" borderId="23" xfId="70" applyNumberFormat="1" applyFont="1" applyBorder="1" applyAlignment="1">
      <alignment horizontal="center" wrapText="1"/>
      <protection/>
    </xf>
    <xf numFmtId="1" fontId="18" fillId="0" borderId="17" xfId="70" applyNumberFormat="1" applyFont="1" applyBorder="1" applyAlignment="1">
      <alignment horizontal="center" wrapText="1"/>
      <protection/>
    </xf>
    <xf numFmtId="1" fontId="18" fillId="0" borderId="18" xfId="70" applyNumberFormat="1" applyFont="1" applyBorder="1" applyAlignment="1">
      <alignment horizontal="center" wrapText="1"/>
      <protection/>
    </xf>
    <xf numFmtId="0" fontId="11" fillId="0" borderId="23" xfId="70" applyBorder="1" applyAlignment="1">
      <alignment horizontal="center" wrapText="1"/>
      <protection/>
    </xf>
    <xf numFmtId="0" fontId="11" fillId="0" borderId="23" xfId="70" applyBorder="1" applyAlignment="1">
      <alignment horizontal="center" vertical="top" wrapText="1"/>
      <protection/>
    </xf>
    <xf numFmtId="171" fontId="18" fillId="0" borderId="18" xfId="45" applyFont="1" applyBorder="1" applyAlignment="1">
      <alignment wrapText="1"/>
    </xf>
    <xf numFmtId="4" fontId="19" fillId="0" borderId="24" xfId="70" applyNumberFormat="1" applyFont="1" applyBorder="1" applyAlignment="1">
      <alignment wrapText="1"/>
      <protection/>
    </xf>
    <xf numFmtId="171" fontId="19" fillId="0" borderId="25" xfId="45" applyFont="1" applyBorder="1" applyAlignment="1">
      <alignment wrapText="1"/>
    </xf>
    <xf numFmtId="0" fontId="11" fillId="0" borderId="0" xfId="71" applyFont="1">
      <alignment/>
      <protection/>
    </xf>
    <xf numFmtId="174" fontId="20" fillId="0" borderId="26" xfId="71" applyNumberFormat="1" applyFont="1" applyBorder="1">
      <alignment/>
      <protection/>
    </xf>
    <xf numFmtId="3" fontId="11" fillId="0" borderId="0" xfId="71" applyNumberFormat="1" applyFont="1">
      <alignment/>
      <protection/>
    </xf>
    <xf numFmtId="178" fontId="11" fillId="0" borderId="26" xfId="71" applyNumberFormat="1" applyBorder="1">
      <alignment/>
      <protection/>
    </xf>
    <xf numFmtId="4" fontId="27" fillId="0" borderId="0" xfId="71" applyNumberFormat="1" applyFont="1">
      <alignment/>
      <protection/>
    </xf>
    <xf numFmtId="0" fontId="18" fillId="0" borderId="27" xfId="70" applyFont="1" applyBorder="1" applyAlignment="1">
      <alignment horizontal="center" vertical="center" wrapText="1"/>
      <protection/>
    </xf>
    <xf numFmtId="3" fontId="18" fillId="0" borderId="17" xfId="70" applyNumberFormat="1" applyFont="1" applyBorder="1" applyAlignment="1">
      <alignment horizontal="center" wrapText="1"/>
      <protection/>
    </xf>
    <xf numFmtId="0" fontId="11" fillId="0" borderId="19" xfId="70" applyFont="1" applyBorder="1" applyAlignment="1">
      <alignment wrapText="1"/>
      <protection/>
    </xf>
    <xf numFmtId="0" fontId="18" fillId="0" borderId="23" xfId="70" applyFont="1" applyBorder="1" applyAlignment="1">
      <alignment wrapText="1"/>
      <protection/>
    </xf>
    <xf numFmtId="0" fontId="11" fillId="0" borderId="0" xfId="71" applyFill="1" applyBorder="1" applyAlignment="1">
      <alignment horizontal="center"/>
      <protection/>
    </xf>
    <xf numFmtId="4" fontId="11" fillId="0" borderId="18" xfId="70" applyNumberFormat="1" applyBorder="1" applyAlignment="1">
      <alignment wrapText="1"/>
      <protection/>
    </xf>
    <xf numFmtId="4" fontId="21" fillId="0" borderId="18" xfId="70" applyNumberFormat="1" applyFont="1" applyBorder="1" applyAlignment="1">
      <alignment wrapText="1"/>
      <protection/>
    </xf>
    <xf numFmtId="4" fontId="19" fillId="0" borderId="18" xfId="70" applyNumberFormat="1" applyFont="1" applyBorder="1" applyAlignment="1">
      <alignment wrapText="1"/>
      <protection/>
    </xf>
    <xf numFmtId="4" fontId="19" fillId="0" borderId="25" xfId="70" applyNumberFormat="1" applyFont="1" applyBorder="1" applyAlignment="1">
      <alignment wrapText="1"/>
      <protection/>
    </xf>
    <xf numFmtId="0" fontId="11" fillId="0" borderId="0" xfId="67">
      <alignment/>
      <protection/>
    </xf>
    <xf numFmtId="0" fontId="11" fillId="0" borderId="0" xfId="67" applyBorder="1">
      <alignment/>
      <protection/>
    </xf>
    <xf numFmtId="0" fontId="18" fillId="0" borderId="17" xfId="67" applyFont="1" applyBorder="1" applyAlignment="1">
      <alignment horizontal="center" vertical="center" wrapText="1"/>
      <protection/>
    </xf>
    <xf numFmtId="0" fontId="29" fillId="0" borderId="0" xfId="67" applyFont="1" applyBorder="1" applyAlignment="1">
      <alignment horizontal="center"/>
      <protection/>
    </xf>
    <xf numFmtId="2" fontId="11" fillId="0" borderId="17" xfId="67" applyNumberFormat="1" applyBorder="1" applyAlignment="1">
      <alignment horizontal="center"/>
      <protection/>
    </xf>
    <xf numFmtId="2" fontId="11" fillId="0" borderId="17" xfId="67" applyNumberFormat="1" applyBorder="1">
      <alignment/>
      <protection/>
    </xf>
    <xf numFmtId="0" fontId="11" fillId="0" borderId="17" xfId="67" applyBorder="1" applyAlignment="1">
      <alignment wrapText="1"/>
      <protection/>
    </xf>
    <xf numFmtId="2" fontId="18" fillId="0" borderId="0" xfId="67" applyNumberFormat="1" applyFont="1" applyBorder="1" applyAlignment="1">
      <alignment wrapText="1"/>
      <protection/>
    </xf>
    <xf numFmtId="0" fontId="11" fillId="0" borderId="17" xfId="67" applyFont="1" applyBorder="1" applyAlignment="1">
      <alignment wrapText="1"/>
      <protection/>
    </xf>
    <xf numFmtId="0" fontId="18" fillId="0" borderId="0" xfId="67" applyFont="1" applyBorder="1">
      <alignment/>
      <protection/>
    </xf>
    <xf numFmtId="0" fontId="18" fillId="0" borderId="17" xfId="67" applyFont="1" applyBorder="1" applyAlignment="1">
      <alignment wrapText="1"/>
      <protection/>
    </xf>
    <xf numFmtId="2" fontId="11" fillId="0" borderId="17" xfId="67" applyNumberFormat="1" applyBorder="1" applyAlignment="1">
      <alignment horizontal="center" wrapText="1"/>
      <protection/>
    </xf>
    <xf numFmtId="2" fontId="11" fillId="0" borderId="17" xfId="67" applyNumberFormat="1" applyBorder="1" applyAlignment="1">
      <alignment horizontal="right" wrapText="1"/>
      <protection/>
    </xf>
    <xf numFmtId="2" fontId="11" fillId="0" borderId="17" xfId="67" applyNumberFormat="1" applyBorder="1" applyAlignment="1">
      <alignment wrapText="1"/>
      <protection/>
    </xf>
    <xf numFmtId="2" fontId="18" fillId="0" borderId="17" xfId="67" applyNumberFormat="1" applyFont="1" applyBorder="1">
      <alignment/>
      <protection/>
    </xf>
    <xf numFmtId="2" fontId="18" fillId="0" borderId="17" xfId="67" applyNumberFormat="1" applyFont="1" applyBorder="1" applyAlignment="1">
      <alignment wrapText="1"/>
      <protection/>
    </xf>
    <xf numFmtId="2" fontId="11" fillId="0" borderId="0" xfId="67" applyNumberFormat="1" applyBorder="1">
      <alignment/>
      <protection/>
    </xf>
    <xf numFmtId="0" fontId="18" fillId="0" borderId="0" xfId="67" applyFont="1" applyBorder="1" applyAlignment="1">
      <alignment horizontal="center" vertical="center" wrapText="1"/>
      <protection/>
    </xf>
    <xf numFmtId="0" fontId="18" fillId="0" borderId="0" xfId="67" applyFont="1" applyBorder="1" applyAlignment="1">
      <alignment horizontal="left" vertical="center" wrapText="1"/>
      <protection/>
    </xf>
    <xf numFmtId="2" fontId="18" fillId="0" borderId="0" xfId="67" applyNumberFormat="1" applyFont="1" applyBorder="1" applyAlignment="1">
      <alignment horizontal="center" vertical="center" wrapText="1"/>
      <protection/>
    </xf>
    <xf numFmtId="0" fontId="11" fillId="0" borderId="0" xfId="67" applyBorder="1" applyAlignment="1">
      <alignment horizontal="center" wrapText="1"/>
      <protection/>
    </xf>
    <xf numFmtId="2" fontId="11" fillId="0" borderId="0" xfId="67" applyNumberFormat="1" applyBorder="1" applyAlignment="1">
      <alignment horizontal="center" wrapText="1"/>
      <protection/>
    </xf>
    <xf numFmtId="2" fontId="11" fillId="0" borderId="0" xfId="67" applyNumberFormat="1" applyBorder="1" applyAlignment="1">
      <alignment horizontal="right" wrapText="1"/>
      <protection/>
    </xf>
    <xf numFmtId="2" fontId="11" fillId="0" borderId="0" xfId="67" applyNumberFormat="1" applyBorder="1" applyAlignment="1">
      <alignment wrapText="1"/>
      <protection/>
    </xf>
    <xf numFmtId="0" fontId="11" fillId="0" borderId="0" xfId="67" applyBorder="1" applyAlignment="1">
      <alignment horizontal="center"/>
      <protection/>
    </xf>
    <xf numFmtId="0" fontId="18" fillId="0" borderId="0" xfId="67" applyFont="1" applyBorder="1" applyAlignment="1">
      <alignment wrapText="1"/>
      <protection/>
    </xf>
    <xf numFmtId="2" fontId="11" fillId="0" borderId="0" xfId="67" applyNumberFormat="1" applyBorder="1" applyAlignment="1">
      <alignment horizontal="center"/>
      <protection/>
    </xf>
    <xf numFmtId="0" fontId="11" fillId="0" borderId="0" xfId="67" applyAlignment="1">
      <alignment horizontal="center"/>
      <protection/>
    </xf>
    <xf numFmtId="2" fontId="11" fillId="0" borderId="0" xfId="67" applyNumberFormat="1">
      <alignment/>
      <protection/>
    </xf>
    <xf numFmtId="0" fontId="11" fillId="0" borderId="17" xfId="67" applyFont="1" applyBorder="1" applyAlignment="1">
      <alignment horizontal="right"/>
      <protection/>
    </xf>
    <xf numFmtId="0" fontId="27" fillId="0" borderId="0" xfId="67" applyFont="1" applyBorder="1" applyAlignment="1">
      <alignment/>
      <protection/>
    </xf>
    <xf numFmtId="0" fontId="18" fillId="0" borderId="28" xfId="67" applyFont="1" applyBorder="1" applyAlignment="1">
      <alignment horizontal="center" vertical="center" wrapText="1"/>
      <protection/>
    </xf>
    <xf numFmtId="0" fontId="18" fillId="0" borderId="29" xfId="67" applyFont="1" applyBorder="1" applyAlignment="1">
      <alignment horizontal="center" vertical="center" wrapText="1"/>
      <protection/>
    </xf>
    <xf numFmtId="2" fontId="18" fillId="0" borderId="29" xfId="67" applyNumberFormat="1" applyFont="1" applyBorder="1" applyAlignment="1">
      <alignment horizontal="center" vertical="center" wrapText="1"/>
      <protection/>
    </xf>
    <xf numFmtId="0" fontId="18" fillId="0" borderId="30" xfId="67" applyFont="1" applyBorder="1" applyAlignment="1">
      <alignment horizontal="center" vertical="center" wrapText="1"/>
      <protection/>
    </xf>
    <xf numFmtId="0" fontId="18" fillId="0" borderId="19" xfId="67" applyFont="1" applyBorder="1" applyAlignment="1">
      <alignment horizontal="center" vertical="center" wrapText="1"/>
      <protection/>
    </xf>
    <xf numFmtId="0" fontId="18" fillId="0" borderId="18" xfId="67" applyFont="1" applyBorder="1" applyAlignment="1">
      <alignment horizontal="center" vertical="center" wrapText="1"/>
      <protection/>
    </xf>
    <xf numFmtId="0" fontId="11" fillId="0" borderId="19" xfId="67" applyBorder="1" applyAlignment="1">
      <alignment horizontal="center" wrapText="1"/>
      <protection/>
    </xf>
    <xf numFmtId="0" fontId="11" fillId="0" borderId="18" xfId="67" applyFont="1" applyBorder="1" applyAlignment="1">
      <alignment wrapText="1"/>
      <protection/>
    </xf>
    <xf numFmtId="0" fontId="11" fillId="0" borderId="19" xfId="67" applyBorder="1" applyAlignment="1">
      <alignment horizontal="center"/>
      <protection/>
    </xf>
    <xf numFmtId="0" fontId="11" fillId="0" borderId="18" xfId="67" applyBorder="1" applyAlignment="1">
      <alignment wrapText="1"/>
      <protection/>
    </xf>
    <xf numFmtId="0" fontId="11" fillId="0" borderId="31" xfId="67" applyBorder="1" applyAlignment="1">
      <alignment horizontal="center" wrapText="1"/>
      <protection/>
    </xf>
    <xf numFmtId="0" fontId="18" fillId="0" borderId="24" xfId="67" applyFont="1" applyBorder="1" applyAlignment="1">
      <alignment wrapText="1"/>
      <protection/>
    </xf>
    <xf numFmtId="2" fontId="11" fillId="0" borderId="24" xfId="67" applyNumberFormat="1" applyBorder="1" applyAlignment="1">
      <alignment wrapText="1"/>
      <protection/>
    </xf>
    <xf numFmtId="2" fontId="18" fillId="0" borderId="24" xfId="67" applyNumberFormat="1" applyFont="1" applyBorder="1" applyAlignment="1">
      <alignment wrapText="1"/>
      <protection/>
    </xf>
    <xf numFmtId="172" fontId="18" fillId="0" borderId="24" xfId="45" applyNumberFormat="1" applyFont="1" applyBorder="1" applyAlignment="1">
      <alignment/>
    </xf>
    <xf numFmtId="0" fontId="11" fillId="0" borderId="24" xfId="67" applyBorder="1" applyAlignment="1">
      <alignment wrapText="1"/>
      <protection/>
    </xf>
    <xf numFmtId="0" fontId="11" fillId="0" borderId="25" xfId="67" applyBorder="1" applyAlignment="1">
      <alignment wrapText="1"/>
      <protection/>
    </xf>
    <xf numFmtId="1" fontId="18" fillId="0" borderId="17" xfId="67" applyNumberFormat="1" applyFont="1" applyBorder="1" applyAlignment="1">
      <alignment horizontal="center" vertical="center" wrapText="1"/>
      <protection/>
    </xf>
    <xf numFmtId="0" fontId="11" fillId="0" borderId="0" xfId="71" applyAlignment="1">
      <alignment/>
      <protection/>
    </xf>
    <xf numFmtId="4" fontId="14" fillId="0" borderId="0" xfId="71" applyNumberFormat="1" applyFont="1" applyAlignment="1">
      <alignment horizontal="center"/>
      <protection/>
    </xf>
    <xf numFmtId="171" fontId="11" fillId="0" borderId="27" xfId="47" applyFont="1" applyFill="1" applyBorder="1" applyAlignment="1">
      <alignment horizontal="justify" vertical="top" wrapText="1"/>
    </xf>
    <xf numFmtId="171" fontId="11" fillId="0" borderId="17" xfId="47" applyFont="1" applyFill="1" applyBorder="1" applyAlignment="1">
      <alignment/>
    </xf>
    <xf numFmtId="171" fontId="11" fillId="0" borderId="17" xfId="47" applyFont="1" applyFill="1" applyBorder="1" applyAlignment="1">
      <alignment vertical="top"/>
    </xf>
    <xf numFmtId="171" fontId="11" fillId="0" borderId="17" xfId="47" applyFont="1" applyBorder="1" applyAlignment="1">
      <alignment/>
    </xf>
    <xf numFmtId="4" fontId="11" fillId="0" borderId="17" xfId="71" applyNumberFormat="1" applyFont="1" applyBorder="1">
      <alignment/>
      <protection/>
    </xf>
    <xf numFmtId="171" fontId="11" fillId="4" borderId="17" xfId="47" applyFont="1" applyFill="1" applyBorder="1" applyAlignment="1">
      <alignment vertical="top"/>
    </xf>
    <xf numFmtId="0" fontId="31" fillId="0" borderId="17" xfId="71" applyFont="1" applyBorder="1" applyAlignment="1">
      <alignment vertical="top"/>
      <protection/>
    </xf>
    <xf numFmtId="0" fontId="31" fillId="0" borderId="17" xfId="70" applyFont="1" applyBorder="1" applyAlignment="1">
      <alignment wrapText="1"/>
      <protection/>
    </xf>
    <xf numFmtId="4" fontId="31" fillId="0" borderId="27" xfId="71" applyNumberFormat="1" applyFont="1" applyFill="1" applyBorder="1" applyAlignment="1">
      <alignment horizontal="right" vertical="top" wrapText="1"/>
      <protection/>
    </xf>
    <xf numFmtId="0" fontId="31" fillId="0" borderId="17" xfId="69" applyFont="1" applyBorder="1" applyAlignment="1">
      <alignment wrapText="1"/>
      <protection/>
    </xf>
    <xf numFmtId="0" fontId="31" fillId="0" borderId="22" xfId="71" applyFont="1" applyBorder="1" applyAlignment="1">
      <alignment horizontal="justify" vertical="top" wrapText="1"/>
      <protection/>
    </xf>
    <xf numFmtId="4" fontId="31" fillId="0" borderId="27" xfId="71" applyNumberFormat="1" applyFont="1" applyFill="1" applyBorder="1" applyAlignment="1">
      <alignment horizontal="justify" vertical="top" wrapText="1"/>
      <protection/>
    </xf>
    <xf numFmtId="0" fontId="31" fillId="27" borderId="32" xfId="0" applyFont="1" applyFill="1" applyBorder="1" applyAlignment="1">
      <alignment/>
    </xf>
    <xf numFmtId="0" fontId="31" fillId="27" borderId="33" xfId="0" applyFont="1" applyFill="1" applyBorder="1" applyAlignment="1">
      <alignment/>
    </xf>
    <xf numFmtId="0" fontId="31" fillId="27" borderId="0" xfId="0" applyFont="1" applyFill="1" applyAlignment="1">
      <alignment/>
    </xf>
    <xf numFmtId="0" fontId="32" fillId="27" borderId="0" xfId="0" applyFont="1" applyFill="1" applyAlignment="1">
      <alignment horizontal="center"/>
    </xf>
    <xf numFmtId="0" fontId="30" fillId="27" borderId="0" xfId="0" applyFont="1" applyFill="1" applyAlignment="1">
      <alignment horizontal="center"/>
    </xf>
    <xf numFmtId="0" fontId="30" fillId="27" borderId="0" xfId="0" applyFont="1" applyFill="1" applyAlignment="1">
      <alignment/>
    </xf>
    <xf numFmtId="0" fontId="30" fillId="27" borderId="34" xfId="0" applyFont="1" applyFill="1" applyBorder="1" applyAlignment="1">
      <alignment horizontal="center" vertical="center" wrapText="1"/>
    </xf>
    <xf numFmtId="0" fontId="30" fillId="27" borderId="17" xfId="0" applyFont="1" applyFill="1" applyBorder="1" applyAlignment="1">
      <alignment horizontal="center" vertical="center" wrapText="1"/>
    </xf>
    <xf numFmtId="0" fontId="30" fillId="27" borderId="22" xfId="0" applyFont="1" applyFill="1" applyBorder="1" applyAlignment="1">
      <alignment vertical="center" wrapText="1"/>
    </xf>
    <xf numFmtId="0" fontId="30" fillId="27" borderId="35" xfId="0" applyFont="1" applyFill="1" applyBorder="1" applyAlignment="1">
      <alignment vertical="center" wrapText="1"/>
    </xf>
    <xf numFmtId="0" fontId="30" fillId="27" borderId="27" xfId="0" applyFont="1" applyFill="1" applyBorder="1" applyAlignment="1">
      <alignment vertical="center" wrapText="1"/>
    </xf>
    <xf numFmtId="0" fontId="30" fillId="27" borderId="22" xfId="0" applyFont="1" applyFill="1" applyBorder="1" applyAlignment="1">
      <alignment horizontal="center" vertical="top" wrapText="1"/>
    </xf>
    <xf numFmtId="0" fontId="31" fillId="27" borderId="17" xfId="0" applyFont="1" applyFill="1" applyBorder="1" applyAlignment="1">
      <alignment horizontal="center"/>
    </xf>
    <xf numFmtId="0" fontId="9" fillId="27" borderId="0" xfId="0" applyFont="1" applyFill="1" applyAlignment="1">
      <alignment/>
    </xf>
    <xf numFmtId="0" fontId="9" fillId="27" borderId="17" xfId="0" applyFont="1" applyFill="1" applyBorder="1" applyAlignment="1">
      <alignment/>
    </xf>
    <xf numFmtId="177" fontId="9" fillId="27" borderId="17" xfId="45" applyNumberFormat="1" applyFont="1" applyFill="1" applyBorder="1" applyAlignment="1" quotePrefix="1">
      <alignment horizontal="center"/>
    </xf>
    <xf numFmtId="172" fontId="9" fillId="27" borderId="17" xfId="45" applyNumberFormat="1" applyFont="1" applyFill="1" applyBorder="1" applyAlignment="1" quotePrefix="1">
      <alignment horizontal="center"/>
    </xf>
    <xf numFmtId="0" fontId="9" fillId="27" borderId="17" xfId="0" applyFont="1" applyFill="1" applyBorder="1" applyAlignment="1">
      <alignment vertical="top"/>
    </xf>
    <xf numFmtId="172" fontId="9" fillId="27" borderId="17" xfId="45" applyNumberFormat="1" applyFont="1" applyFill="1" applyBorder="1" applyAlignment="1">
      <alignment/>
    </xf>
    <xf numFmtId="169" fontId="9" fillId="27" borderId="17" xfId="45" applyNumberFormat="1" applyFont="1" applyFill="1" applyBorder="1" applyAlignment="1">
      <alignment/>
    </xf>
    <xf numFmtId="169" fontId="9" fillId="27" borderId="17" xfId="0" applyNumberFormat="1" applyFont="1" applyFill="1" applyBorder="1" applyAlignment="1">
      <alignment/>
    </xf>
    <xf numFmtId="169" fontId="9" fillId="27" borderId="17" xfId="0" applyNumberFormat="1" applyFont="1" applyFill="1" applyBorder="1" applyAlignment="1" quotePrefix="1">
      <alignment horizontal="center"/>
    </xf>
    <xf numFmtId="169" fontId="9" fillId="27" borderId="17" xfId="45" applyNumberFormat="1" applyFont="1" applyFill="1" applyBorder="1" applyAlignment="1" quotePrefix="1">
      <alignment horizontal="center"/>
    </xf>
    <xf numFmtId="172" fontId="33" fillId="27" borderId="17" xfId="0" applyNumberFormat="1" applyFont="1" applyFill="1" applyBorder="1" applyAlignment="1">
      <alignment/>
    </xf>
    <xf numFmtId="0" fontId="11" fillId="0" borderId="0" xfId="71" applyFill="1" applyBorder="1" applyAlignment="1">
      <alignment/>
      <protection/>
    </xf>
    <xf numFmtId="0" fontId="11" fillId="0" borderId="36" xfId="71" applyFill="1" applyBorder="1" applyAlignment="1">
      <alignment/>
      <protection/>
    </xf>
    <xf numFmtId="0" fontId="18" fillId="0" borderId="0" xfId="71" applyFont="1" applyFill="1" applyBorder="1" applyAlignment="1">
      <alignment/>
      <protection/>
    </xf>
    <xf numFmtId="2" fontId="18" fillId="0" borderId="30" xfId="67" applyNumberFormat="1" applyFont="1" applyBorder="1" applyAlignment="1">
      <alignment horizontal="center" vertical="center" wrapText="1"/>
      <protection/>
    </xf>
    <xf numFmtId="1" fontId="18" fillId="0" borderId="18" xfId="67" applyNumberFormat="1" applyFont="1" applyBorder="1" applyAlignment="1">
      <alignment horizontal="center" vertical="center" wrapText="1"/>
      <protection/>
    </xf>
    <xf numFmtId="0" fontId="11" fillId="0" borderId="19" xfId="67" applyBorder="1" applyAlignment="1">
      <alignment horizontal="center" vertical="top" wrapText="1"/>
      <protection/>
    </xf>
    <xf numFmtId="0" fontId="11" fillId="0" borderId="17" xfId="67" applyFont="1" applyBorder="1" applyAlignment="1">
      <alignment vertical="top"/>
      <protection/>
    </xf>
    <xf numFmtId="2" fontId="11" fillId="0" borderId="18" xfId="67" applyNumberFormat="1" applyBorder="1">
      <alignment/>
      <protection/>
    </xf>
    <xf numFmtId="0" fontId="11" fillId="0" borderId="17" xfId="67" applyFont="1" applyBorder="1" applyAlignment="1">
      <alignment vertical="top" wrapText="1"/>
      <protection/>
    </xf>
    <xf numFmtId="0" fontId="11" fillId="0" borderId="31" xfId="67" applyBorder="1" applyAlignment="1">
      <alignment horizontal="center" vertical="top" wrapText="1"/>
      <protection/>
    </xf>
    <xf numFmtId="0" fontId="11" fillId="0" borderId="24" xfId="67" applyFont="1" applyBorder="1" applyAlignment="1">
      <alignment vertical="top"/>
      <protection/>
    </xf>
    <xf numFmtId="2" fontId="11" fillId="0" borderId="24" xfId="67" applyNumberFormat="1" applyBorder="1" applyAlignment="1">
      <alignment horizontal="center"/>
      <protection/>
    </xf>
    <xf numFmtId="2" fontId="11" fillId="0" borderId="25" xfId="67" applyNumberFormat="1" applyBorder="1">
      <alignment/>
      <protection/>
    </xf>
    <xf numFmtId="0" fontId="11" fillId="0" borderId="26" xfId="71" applyBorder="1">
      <alignment/>
      <protection/>
    </xf>
    <xf numFmtId="3" fontId="11" fillId="0" borderId="0" xfId="71" applyNumberFormat="1" applyFont="1" applyAlignment="1">
      <alignment horizontal="right"/>
      <protection/>
    </xf>
    <xf numFmtId="0" fontId="31" fillId="27" borderId="26" xfId="0" applyFont="1" applyFill="1" applyBorder="1" applyAlignment="1">
      <alignment/>
    </xf>
    <xf numFmtId="0" fontId="0" fillId="0" borderId="32" xfId="0" applyBorder="1" applyAlignment="1">
      <alignment/>
    </xf>
    <xf numFmtId="17" fontId="27" fillId="0" borderId="32" xfId="0" applyNumberFormat="1" applyFont="1" applyBorder="1" applyAlignment="1" quotePrefix="1">
      <alignment/>
    </xf>
    <xf numFmtId="4" fontId="11" fillId="0" borderId="0" xfId="71" applyNumberFormat="1" applyFill="1" applyBorder="1">
      <alignment/>
      <protection/>
    </xf>
    <xf numFmtId="0" fontId="27" fillId="0" borderId="32" xfId="0" applyFont="1" applyBorder="1" applyAlignment="1">
      <alignment horizontal="right"/>
    </xf>
    <xf numFmtId="171" fontId="23" fillId="0" borderId="37" xfId="45" applyFont="1" applyFill="1" applyBorder="1" applyAlignment="1">
      <alignment vertical="center"/>
    </xf>
    <xf numFmtId="171" fontId="24" fillId="0" borderId="37" xfId="45" applyFont="1" applyFill="1" applyBorder="1" applyAlignment="1" applyProtection="1">
      <alignment vertical="center"/>
      <protection locked="0"/>
    </xf>
    <xf numFmtId="171" fontId="24" fillId="25" borderId="37" xfId="45" applyFont="1" applyFill="1" applyBorder="1" applyAlignment="1" applyProtection="1">
      <alignment vertical="center"/>
      <protection locked="0"/>
    </xf>
    <xf numFmtId="171" fontId="24" fillId="22" borderId="37" xfId="45" applyFont="1" applyFill="1" applyBorder="1" applyAlignment="1" applyProtection="1">
      <alignment vertical="center"/>
      <protection locked="0"/>
    </xf>
    <xf numFmtId="171" fontId="26" fillId="0" borderId="37" xfId="45" applyFont="1" applyFill="1" applyBorder="1" applyAlignment="1">
      <alignment vertical="center"/>
    </xf>
    <xf numFmtId="171" fontId="26" fillId="22" borderId="37" xfId="45" applyFont="1" applyFill="1" applyBorder="1" applyAlignment="1" applyProtection="1">
      <alignment vertical="center"/>
      <protection locked="0"/>
    </xf>
    <xf numFmtId="171" fontId="26" fillId="0" borderId="37" xfId="45" applyFont="1" applyFill="1" applyBorder="1" applyAlignment="1" applyProtection="1">
      <alignment vertical="center"/>
      <protection locked="0"/>
    </xf>
    <xf numFmtId="0" fontId="24" fillId="0" borderId="38" xfId="68" applyFont="1" applyFill="1" applyBorder="1" applyAlignment="1">
      <alignment vertical="center" wrapText="1"/>
      <protection/>
    </xf>
    <xf numFmtId="171" fontId="24" fillId="22" borderId="39" xfId="45" applyFont="1" applyFill="1" applyBorder="1" applyAlignment="1" applyProtection="1">
      <alignment vertical="center"/>
      <protection locked="0"/>
    </xf>
    <xf numFmtId="0" fontId="24" fillId="0" borderId="40" xfId="68" applyFont="1" applyFill="1" applyBorder="1" applyAlignment="1">
      <alignment horizontal="center"/>
      <protection/>
    </xf>
    <xf numFmtId="0" fontId="23" fillId="0" borderId="41" xfId="68" applyFont="1" applyFill="1" applyBorder="1" applyAlignment="1">
      <alignment vertical="center" wrapText="1"/>
      <protection/>
    </xf>
    <xf numFmtId="171" fontId="23" fillId="0" borderId="42" xfId="45" applyFont="1" applyFill="1" applyBorder="1" applyAlignment="1">
      <alignment vertical="center"/>
    </xf>
    <xf numFmtId="171" fontId="23" fillId="7" borderId="42" xfId="45" applyFont="1" applyFill="1" applyBorder="1" applyAlignment="1" applyProtection="1">
      <alignment vertical="top" wrapText="1"/>
      <protection locked="0"/>
    </xf>
    <xf numFmtId="171" fontId="23" fillId="0" borderId="42" xfId="45" applyFont="1" applyFill="1" applyBorder="1" applyAlignment="1">
      <alignment horizontal="center" vertical="center"/>
    </xf>
    <xf numFmtId="0" fontId="23" fillId="0" borderId="43" xfId="68" applyFont="1" applyFill="1" applyBorder="1" applyAlignment="1">
      <alignment horizontal="left"/>
      <protection/>
    </xf>
    <xf numFmtId="171" fontId="23" fillId="0" borderId="44" xfId="45" applyFont="1" applyFill="1" applyBorder="1" applyAlignment="1">
      <alignment vertical="center"/>
    </xf>
    <xf numFmtId="0" fontId="23" fillId="0" borderId="40" xfId="68" applyFont="1" applyFill="1" applyBorder="1" applyAlignment="1">
      <alignment horizontal="center" vertical="top" wrapText="1"/>
      <protection/>
    </xf>
    <xf numFmtId="0" fontId="23" fillId="0" borderId="41" xfId="68" applyFont="1" applyFill="1" applyBorder="1" applyAlignment="1">
      <alignment horizontal="center" vertical="top" wrapText="1"/>
      <protection/>
    </xf>
    <xf numFmtId="176" fontId="23" fillId="0" borderId="42" xfId="68" applyNumberFormat="1" applyFont="1" applyFill="1" applyBorder="1" applyAlignment="1">
      <alignment horizontal="center" vertical="top" wrapText="1"/>
      <protection/>
    </xf>
    <xf numFmtId="2" fontId="11" fillId="0" borderId="17" xfId="67" applyNumberFormat="1" applyBorder="1" applyAlignment="1">
      <alignment horizontal="center" vertical="top"/>
      <protection/>
    </xf>
    <xf numFmtId="2" fontId="11" fillId="0" borderId="17" xfId="67" applyNumberFormat="1" applyBorder="1" applyAlignment="1">
      <alignment vertical="top"/>
      <protection/>
    </xf>
    <xf numFmtId="0" fontId="11" fillId="0" borderId="17" xfId="67" applyFont="1" applyBorder="1" applyAlignment="1">
      <alignment vertical="top" wrapText="1"/>
      <protection/>
    </xf>
    <xf numFmtId="0" fontId="11" fillId="0" borderId="18" xfId="67" applyFont="1" applyBorder="1" applyAlignment="1">
      <alignment vertical="top" wrapText="1"/>
      <protection/>
    </xf>
    <xf numFmtId="0" fontId="31" fillId="0" borderId="17" xfId="70" applyFont="1" applyBorder="1" applyAlignment="1">
      <alignment vertical="top" wrapText="1"/>
      <protection/>
    </xf>
    <xf numFmtId="2" fontId="11" fillId="0" borderId="17" xfId="67" applyNumberFormat="1" applyFont="1" applyBorder="1" applyAlignment="1">
      <alignment horizontal="center"/>
      <protection/>
    </xf>
    <xf numFmtId="2" fontId="11" fillId="0" borderId="0" xfId="71" applyNumberFormat="1" applyFont="1">
      <alignment/>
      <protection/>
    </xf>
    <xf numFmtId="0" fontId="18" fillId="0" borderId="32" xfId="71" applyFont="1" applyBorder="1" applyAlignment="1">
      <alignment/>
      <protection/>
    </xf>
    <xf numFmtId="4" fontId="11" fillId="0" borderId="32" xfId="71" applyNumberFormat="1" applyBorder="1">
      <alignment/>
      <protection/>
    </xf>
    <xf numFmtId="3" fontId="11" fillId="0" borderId="32" xfId="71" applyNumberFormat="1" applyBorder="1">
      <alignment/>
      <protection/>
    </xf>
    <xf numFmtId="0" fontId="11" fillId="0" borderId="32" xfId="71" applyBorder="1">
      <alignment/>
      <protection/>
    </xf>
    <xf numFmtId="0" fontId="11" fillId="0" borderId="17" xfId="0" applyFont="1" applyBorder="1" applyAlignment="1">
      <alignment vertical="top" wrapText="1"/>
    </xf>
    <xf numFmtId="2" fontId="11" fillId="0" borderId="17" xfId="67" applyNumberFormat="1" applyFont="1" applyBorder="1" applyAlignment="1">
      <alignment horizontal="center" vertical="top"/>
      <protection/>
    </xf>
    <xf numFmtId="2" fontId="11" fillId="0" borderId="17" xfId="67" applyNumberFormat="1" applyFill="1" applyBorder="1" applyAlignment="1">
      <alignment vertical="top"/>
      <protection/>
    </xf>
    <xf numFmtId="0" fontId="11" fillId="0" borderId="17" xfId="67" applyNumberFormat="1" applyFont="1" applyBorder="1" applyAlignment="1">
      <alignment vertical="top" wrapText="1"/>
      <protection/>
    </xf>
    <xf numFmtId="0" fontId="18" fillId="0" borderId="0" xfId="71" applyFont="1" applyFill="1" applyBorder="1" applyAlignment="1">
      <alignment vertical="top"/>
      <protection/>
    </xf>
    <xf numFmtId="0" fontId="11" fillId="0" borderId="0" xfId="0" applyFont="1" applyAlignment="1">
      <alignment vertical="top" wrapText="1"/>
    </xf>
    <xf numFmtId="0" fontId="11" fillId="0" borderId="0" xfId="0" applyNumberFormat="1" applyFont="1" applyAlignment="1">
      <alignment vertical="top" wrapText="1"/>
    </xf>
    <xf numFmtId="2" fontId="11" fillId="0" borderId="17" xfId="67" applyNumberFormat="1" applyBorder="1" applyAlignment="1">
      <alignment horizontal="left" vertical="top" wrapText="1"/>
      <protection/>
    </xf>
    <xf numFmtId="0" fontId="31" fillId="0" borderId="0" xfId="71" applyFont="1" applyBorder="1" applyAlignment="1">
      <alignment horizontal="center" vertical="center"/>
      <protection/>
    </xf>
    <xf numFmtId="4" fontId="31" fillId="0" borderId="0" xfId="71" applyNumberFormat="1" applyFont="1" applyBorder="1" applyAlignment="1">
      <alignment horizontal="center" vertical="center"/>
      <protection/>
    </xf>
    <xf numFmtId="4" fontId="11" fillId="0" borderId="0" xfId="71" applyNumberFormat="1" applyBorder="1" applyAlignment="1">
      <alignment horizontal="center"/>
      <protection/>
    </xf>
    <xf numFmtId="0" fontId="11" fillId="0" borderId="0" xfId="71" applyBorder="1" applyAlignment="1">
      <alignment horizontal="center"/>
      <protection/>
    </xf>
    <xf numFmtId="0" fontId="27" fillId="0" borderId="0" xfId="0" applyFont="1" applyFill="1" applyBorder="1" applyAlignment="1">
      <alignment/>
    </xf>
    <xf numFmtId="179" fontId="30" fillId="25" borderId="26" xfId="0" applyNumberFormat="1" applyFont="1" applyFill="1" applyBorder="1" applyAlignment="1">
      <alignment horizontal="center"/>
    </xf>
    <xf numFmtId="0" fontId="11" fillId="0" borderId="0" xfId="0" applyFont="1" applyAlignment="1">
      <alignment/>
    </xf>
    <xf numFmtId="2" fontId="11" fillId="0" borderId="17" xfId="67" applyNumberFormat="1" applyFont="1" applyBorder="1" applyAlignment="1">
      <alignment horizontal="left" vertical="top" wrapText="1"/>
      <protection/>
    </xf>
    <xf numFmtId="0" fontId="11" fillId="0" borderId="0" xfId="0" applyFont="1" applyAlignment="1">
      <alignment horizontal="left" vertical="top" wrapText="1"/>
    </xf>
    <xf numFmtId="2" fontId="11" fillId="0" borderId="17" xfId="67" applyNumberFormat="1" applyFont="1" applyBorder="1" applyAlignment="1">
      <alignment horizontal="left" wrapText="1"/>
      <protection/>
    </xf>
    <xf numFmtId="0" fontId="11" fillId="0" borderId="17" xfId="0" applyFont="1" applyBorder="1" applyAlignment="1">
      <alignment horizontal="left" vertical="top" wrapText="1"/>
    </xf>
    <xf numFmtId="0" fontId="11" fillId="0" borderId="17" xfId="0" applyNumberFormat="1" applyFont="1" applyBorder="1" applyAlignment="1">
      <alignment horizontal="left" vertical="top" wrapText="1"/>
    </xf>
    <xf numFmtId="2" fontId="11" fillId="0" borderId="17" xfId="67" applyNumberFormat="1" applyFont="1" applyBorder="1" applyAlignment="1">
      <alignment horizontal="left"/>
      <protection/>
    </xf>
    <xf numFmtId="4" fontId="51" fillId="0" borderId="45" xfId="0" applyNumberFormat="1" applyFont="1" applyBorder="1" applyAlignment="1">
      <alignment horizontal="center" wrapText="1"/>
    </xf>
    <xf numFmtId="4" fontId="51" fillId="24" borderId="45" xfId="0" applyNumberFormat="1" applyFont="1" applyFill="1" applyBorder="1" applyAlignment="1">
      <alignment horizontal="center" wrapText="1"/>
    </xf>
    <xf numFmtId="4" fontId="51" fillId="0" borderId="46" xfId="0" applyNumberFormat="1" applyFont="1" applyBorder="1" applyAlignment="1">
      <alignment horizontal="center" wrapText="1"/>
    </xf>
    <xf numFmtId="4" fontId="51" fillId="24" borderId="46" xfId="0" applyNumberFormat="1" applyFont="1" applyFill="1" applyBorder="1" applyAlignment="1">
      <alignment horizontal="center" wrapText="1"/>
    </xf>
    <xf numFmtId="0" fontId="52" fillId="0" borderId="47" xfId="0" applyFont="1" applyBorder="1" applyAlignment="1">
      <alignment horizontal="center" wrapText="1"/>
    </xf>
    <xf numFmtId="0" fontId="52" fillId="0" borderId="46" xfId="0" applyFont="1" applyBorder="1" applyAlignment="1">
      <alignment horizontal="center" wrapText="1"/>
    </xf>
    <xf numFmtId="4" fontId="52" fillId="0" borderId="46" xfId="0" applyNumberFormat="1" applyFont="1" applyBorder="1" applyAlignment="1">
      <alignment horizontal="center" wrapText="1"/>
    </xf>
    <xf numFmtId="4" fontId="52" fillId="24" borderId="46" xfId="0" applyNumberFormat="1" applyFont="1" applyFill="1" applyBorder="1" applyAlignment="1">
      <alignment horizontal="center" wrapText="1"/>
    </xf>
    <xf numFmtId="0" fontId="51" fillId="24" borderId="48" xfId="0" applyFont="1" applyFill="1" applyBorder="1" applyAlignment="1">
      <alignment horizontal="center" vertical="top" wrapText="1"/>
    </xf>
    <xf numFmtId="0" fontId="53" fillId="0" borderId="48" xfId="0" applyFont="1" applyBorder="1" applyAlignment="1">
      <alignment horizontal="center" vertical="top" wrapText="1"/>
    </xf>
    <xf numFmtId="0" fontId="53" fillId="0" borderId="49" xfId="0" applyFont="1" applyBorder="1" applyAlignment="1">
      <alignment/>
    </xf>
    <xf numFmtId="4" fontId="53" fillId="0" borderId="49" xfId="0" applyNumberFormat="1" applyFont="1" applyBorder="1" applyAlignment="1">
      <alignment horizontal="center" vertical="top" wrapText="1"/>
    </xf>
    <xf numFmtId="4" fontId="53" fillId="24" borderId="49" xfId="0" applyNumberFormat="1" applyFont="1" applyFill="1" applyBorder="1" applyAlignment="1">
      <alignment horizontal="center" vertical="top" wrapText="1"/>
    </xf>
    <xf numFmtId="4" fontId="51" fillId="0" borderId="46" xfId="0" applyNumberFormat="1" applyFont="1" applyBorder="1" applyAlignment="1">
      <alignment horizontal="center" vertical="top" wrapText="1"/>
    </xf>
    <xf numFmtId="4" fontId="51" fillId="24" borderId="46" xfId="0" applyNumberFormat="1" applyFont="1" applyFill="1" applyBorder="1" applyAlignment="1">
      <alignment horizontal="center" vertical="top" wrapText="1"/>
    </xf>
    <xf numFmtId="0" fontId="53" fillId="0" borderId="49" xfId="0" applyFont="1" applyBorder="1" applyAlignment="1">
      <alignment wrapText="1"/>
    </xf>
    <xf numFmtId="16" fontId="53" fillId="0" borderId="48" xfId="0" applyNumberFormat="1" applyFont="1" applyBorder="1" applyAlignment="1">
      <alignment horizontal="center" vertical="top" wrapText="1"/>
    </xf>
    <xf numFmtId="0" fontId="53" fillId="0" borderId="49" xfId="0" applyFont="1" applyBorder="1" applyAlignment="1">
      <alignment vertical="top" wrapText="1"/>
    </xf>
    <xf numFmtId="0" fontId="51" fillId="24" borderId="47" xfId="0" applyFont="1" applyFill="1" applyBorder="1" applyAlignment="1">
      <alignment horizontal="center" vertical="top" wrapText="1"/>
    </xf>
    <xf numFmtId="0" fontId="54" fillId="0" borderId="49" xfId="0" applyFont="1" applyBorder="1" applyAlignment="1">
      <alignment vertical="top" wrapText="1"/>
    </xf>
    <xf numFmtId="4" fontId="55" fillId="0" borderId="46" xfId="0" applyNumberFormat="1" applyFont="1" applyBorder="1" applyAlignment="1">
      <alignment vertical="top" wrapText="1"/>
    </xf>
    <xf numFmtId="4" fontId="20" fillId="0" borderId="0" xfId="0" applyNumberFormat="1" applyFont="1" applyBorder="1" applyAlignment="1">
      <alignment/>
    </xf>
    <xf numFmtId="4" fontId="58" fillId="0" borderId="0" xfId="0" applyNumberFormat="1" applyFont="1" applyBorder="1" applyAlignment="1">
      <alignment/>
    </xf>
    <xf numFmtId="4" fontId="27" fillId="0" borderId="0" xfId="0" applyNumberFormat="1" applyFont="1" applyBorder="1" applyAlignment="1">
      <alignment/>
    </xf>
    <xf numFmtId="4" fontId="27" fillId="24" borderId="0" xfId="0" applyNumberFormat="1" applyFont="1" applyFill="1" applyBorder="1" applyAlignment="1">
      <alignment/>
    </xf>
    <xf numFmtId="4" fontId="27" fillId="0" borderId="0" xfId="0" applyNumberFormat="1" applyFont="1" applyBorder="1" applyAlignment="1">
      <alignment horizontal="center"/>
    </xf>
    <xf numFmtId="4" fontId="27" fillId="24" borderId="0" xfId="0" applyNumberFormat="1" applyFont="1" applyFill="1" applyBorder="1" applyAlignment="1">
      <alignment horizontal="center"/>
    </xf>
    <xf numFmtId="4" fontId="28" fillId="0" borderId="0" xfId="0" applyNumberFormat="1" applyFont="1" applyBorder="1" applyAlignment="1">
      <alignment horizontal="right"/>
    </xf>
    <xf numFmtId="4" fontId="0" fillId="0" borderId="0" xfId="0" applyNumberFormat="1" applyAlignment="1">
      <alignment/>
    </xf>
    <xf numFmtId="0" fontId="20" fillId="0" borderId="0" xfId="71" applyFont="1">
      <alignment/>
      <protection/>
    </xf>
    <xf numFmtId="0" fontId="58" fillId="0" borderId="0" xfId="0" applyFont="1" applyBorder="1" applyAlignment="1">
      <alignment/>
    </xf>
    <xf numFmtId="0" fontId="59" fillId="0" borderId="0" xfId="0" applyFont="1" applyBorder="1" applyAlignment="1">
      <alignment/>
    </xf>
    <xf numFmtId="0" fontId="18" fillId="0" borderId="0" xfId="71" applyFont="1" applyAlignment="1">
      <alignment horizontal="left"/>
      <protection/>
    </xf>
    <xf numFmtId="4" fontId="31" fillId="0" borderId="17" xfId="71" applyNumberFormat="1" applyFont="1" applyBorder="1" applyAlignment="1">
      <alignment horizontal="center" vertical="center"/>
      <protection/>
    </xf>
    <xf numFmtId="9" fontId="0" fillId="0" borderId="0" xfId="76" applyFont="1" applyAlignment="1">
      <alignment/>
    </xf>
    <xf numFmtId="0" fontId="11" fillId="0" borderId="17" xfId="70" applyFont="1" applyBorder="1" applyAlignment="1">
      <alignment wrapText="1"/>
      <protection/>
    </xf>
    <xf numFmtId="0" fontId="9" fillId="24" borderId="17" xfId="0" applyFont="1" applyFill="1" applyBorder="1" applyAlignment="1">
      <alignment/>
    </xf>
    <xf numFmtId="177" fontId="9" fillId="24" borderId="17" xfId="45" applyNumberFormat="1" applyFont="1" applyFill="1" applyBorder="1" applyAlignment="1" quotePrefix="1">
      <alignment horizontal="center"/>
    </xf>
    <xf numFmtId="172" fontId="9" fillId="24" borderId="17" xfId="45" applyNumberFormat="1" applyFont="1" applyFill="1" applyBorder="1" applyAlignment="1" quotePrefix="1">
      <alignment horizontal="center"/>
    </xf>
    <xf numFmtId="181" fontId="11" fillId="0" borderId="0" xfId="71" applyNumberFormat="1">
      <alignment/>
      <protection/>
    </xf>
    <xf numFmtId="183" fontId="11" fillId="0" borderId="0" xfId="71" applyNumberFormat="1">
      <alignment/>
      <protection/>
    </xf>
    <xf numFmtId="172" fontId="9" fillId="24" borderId="17" xfId="45" applyNumberFormat="1" applyFont="1" applyFill="1" applyBorder="1" applyAlignment="1">
      <alignment/>
    </xf>
    <xf numFmtId="0" fontId="9" fillId="24" borderId="0" xfId="0" applyFont="1" applyFill="1" applyAlignment="1">
      <alignment/>
    </xf>
    <xf numFmtId="0" fontId="34" fillId="24" borderId="17" xfId="0" applyFont="1" applyFill="1" applyBorder="1" applyAlignment="1">
      <alignment horizontal="left"/>
    </xf>
    <xf numFmtId="0" fontId="9" fillId="24" borderId="50" xfId="0" applyFont="1" applyFill="1" applyBorder="1" applyAlignment="1">
      <alignment horizontal="left"/>
    </xf>
    <xf numFmtId="0" fontId="9" fillId="24" borderId="17" xfId="0" applyFont="1" applyFill="1" applyBorder="1" applyAlignment="1">
      <alignment horizontal="left"/>
    </xf>
    <xf numFmtId="181" fontId="9" fillId="24" borderId="17" xfId="45" applyNumberFormat="1" applyFont="1" applyFill="1" applyBorder="1" applyAlignment="1" quotePrefix="1">
      <alignment horizontal="center"/>
    </xf>
    <xf numFmtId="181" fontId="9" fillId="24" borderId="17" xfId="45" applyNumberFormat="1" applyFont="1" applyFill="1" applyBorder="1" applyAlignment="1">
      <alignment/>
    </xf>
    <xf numFmtId="184" fontId="9" fillId="27" borderId="17" xfId="45" applyNumberFormat="1" applyFont="1" applyFill="1" applyBorder="1" applyAlignment="1">
      <alignment/>
    </xf>
    <xf numFmtId="184" fontId="9" fillId="24" borderId="17" xfId="45" applyNumberFormat="1" applyFont="1" applyFill="1" applyBorder="1" applyAlignment="1">
      <alignment/>
    </xf>
    <xf numFmtId="184" fontId="9" fillId="24" borderId="17" xfId="45" applyNumberFormat="1" applyFont="1" applyFill="1" applyBorder="1" applyAlignment="1" quotePrefix="1">
      <alignment horizontal="center"/>
    </xf>
    <xf numFmtId="184" fontId="9" fillId="27" borderId="17" xfId="45" applyNumberFormat="1" applyFont="1" applyFill="1" applyBorder="1" applyAlignment="1" quotePrefix="1">
      <alignment horizontal="center"/>
    </xf>
    <xf numFmtId="184" fontId="9" fillId="27" borderId="17" xfId="0" applyNumberFormat="1" applyFont="1" applyFill="1" applyBorder="1" applyAlignment="1">
      <alignment/>
    </xf>
    <xf numFmtId="181" fontId="33" fillId="27" borderId="17" xfId="45" applyNumberFormat="1" applyFont="1" applyFill="1" applyBorder="1" applyAlignment="1">
      <alignment/>
    </xf>
    <xf numFmtId="181" fontId="9" fillId="27" borderId="17" xfId="45" applyNumberFormat="1" applyFont="1" applyFill="1" applyBorder="1" applyAlignment="1" quotePrefix="1">
      <alignment horizontal="center"/>
    </xf>
    <xf numFmtId="181" fontId="9" fillId="27" borderId="17" xfId="45" applyNumberFormat="1" applyFont="1" applyFill="1" applyBorder="1" applyAlignment="1">
      <alignment/>
    </xf>
    <xf numFmtId="2" fontId="20" fillId="0" borderId="17" xfId="67" applyNumberFormat="1" applyFont="1" applyBorder="1">
      <alignment/>
      <protection/>
    </xf>
    <xf numFmtId="2" fontId="20" fillId="0" borderId="17" xfId="67" applyNumberFormat="1" applyFont="1" applyBorder="1" applyAlignment="1">
      <alignment vertical="top"/>
      <protection/>
    </xf>
    <xf numFmtId="2" fontId="18" fillId="0" borderId="0" xfId="67" applyNumberFormat="1" applyFont="1" applyBorder="1">
      <alignment/>
      <protection/>
    </xf>
    <xf numFmtId="0" fontId="11" fillId="0" borderId="0" xfId="67" applyFont="1" applyBorder="1">
      <alignment/>
      <protection/>
    </xf>
    <xf numFmtId="2" fontId="29" fillId="0" borderId="0" xfId="67" applyNumberFormat="1" applyFont="1" applyBorder="1">
      <alignment/>
      <protection/>
    </xf>
    <xf numFmtId="4" fontId="55" fillId="24" borderId="46" xfId="0" applyNumberFormat="1" applyFont="1" applyFill="1" applyBorder="1" applyAlignment="1">
      <alignment vertical="top" wrapText="1"/>
    </xf>
    <xf numFmtId="4" fontId="11" fillId="24" borderId="17" xfId="70" applyNumberFormat="1" applyFill="1" applyBorder="1" applyAlignment="1">
      <alignment wrapText="1"/>
      <protection/>
    </xf>
    <xf numFmtId="0" fontId="18" fillId="0" borderId="0" xfId="71" applyFont="1">
      <alignment/>
      <protection/>
    </xf>
    <xf numFmtId="4" fontId="18" fillId="24" borderId="17" xfId="70" applyNumberFormat="1" applyFont="1" applyFill="1" applyBorder="1" applyAlignment="1">
      <alignment wrapText="1"/>
      <protection/>
    </xf>
    <xf numFmtId="4" fontId="60" fillId="0" borderId="0" xfId="71" applyNumberFormat="1" applyFont="1" applyBorder="1" applyAlignment="1">
      <alignment horizontal="center" vertical="center"/>
      <protection/>
    </xf>
    <xf numFmtId="174" fontId="20" fillId="0" borderId="0" xfId="0" applyNumberFormat="1" applyFont="1" applyAlignment="1">
      <alignment/>
    </xf>
    <xf numFmtId="0" fontId="18" fillId="0" borderId="28" xfId="70" applyFont="1" applyBorder="1" applyAlignment="1">
      <alignment horizontal="center" wrapText="1"/>
      <protection/>
    </xf>
    <xf numFmtId="0" fontId="18" fillId="0" borderId="29" xfId="70" applyFont="1" applyBorder="1" applyAlignment="1">
      <alignment horizontal="center" wrapText="1"/>
      <protection/>
    </xf>
    <xf numFmtId="3" fontId="56" fillId="0" borderId="29" xfId="0" applyNumberFormat="1" applyFont="1" applyFill="1" applyBorder="1" applyAlignment="1">
      <alignment horizontal="center" wrapText="1"/>
    </xf>
    <xf numFmtId="0" fontId="18" fillId="0" borderId="19" xfId="70" applyFont="1" applyBorder="1" applyAlignment="1">
      <alignment horizontal="center" wrapText="1"/>
      <protection/>
    </xf>
    <xf numFmtId="0" fontId="18" fillId="0" borderId="17" xfId="70" applyFont="1" applyBorder="1" applyAlignment="1">
      <alignment horizontal="center" wrapText="1"/>
      <protection/>
    </xf>
    <xf numFmtId="4" fontId="56" fillId="0" borderId="17" xfId="0" applyNumberFormat="1" applyFont="1" applyFill="1" applyBorder="1" applyAlignment="1">
      <alignment horizontal="center" wrapText="1"/>
    </xf>
    <xf numFmtId="4" fontId="56" fillId="0" borderId="18" xfId="0" applyNumberFormat="1" applyFont="1" applyFill="1" applyBorder="1" applyAlignment="1">
      <alignment horizontal="center" wrapText="1"/>
    </xf>
    <xf numFmtId="0" fontId="56" fillId="0" borderId="31" xfId="70" applyFont="1" applyBorder="1" applyAlignment="1">
      <alignment wrapText="1"/>
      <protection/>
    </xf>
    <xf numFmtId="0" fontId="56" fillId="0" borderId="24" xfId="70" applyFont="1" applyBorder="1" applyAlignment="1">
      <alignment wrapText="1"/>
      <protection/>
    </xf>
    <xf numFmtId="3" fontId="56" fillId="0" borderId="24" xfId="0" applyNumberFormat="1" applyFont="1" applyFill="1" applyBorder="1" applyAlignment="1">
      <alignment horizontal="center" wrapText="1"/>
    </xf>
    <xf numFmtId="1" fontId="56" fillId="0" borderId="24" xfId="0" applyNumberFormat="1" applyFont="1" applyFill="1" applyBorder="1" applyAlignment="1">
      <alignment horizontal="center" wrapText="1"/>
    </xf>
    <xf numFmtId="3" fontId="56" fillId="0" borderId="24" xfId="0" applyNumberFormat="1" applyFont="1" applyFill="1" applyBorder="1" applyAlignment="1">
      <alignment horizontal="center" wrapText="1"/>
    </xf>
    <xf numFmtId="3" fontId="56" fillId="0" borderId="25" xfId="0" applyNumberFormat="1" applyFont="1" applyFill="1" applyBorder="1" applyAlignment="1">
      <alignment horizontal="center" wrapText="1"/>
    </xf>
    <xf numFmtId="0" fontId="11" fillId="0" borderId="19" xfId="70" applyFont="1" applyBorder="1" applyAlignment="1">
      <alignment wrapText="1"/>
      <protection/>
    </xf>
    <xf numFmtId="3" fontId="11" fillId="0" borderId="17" xfId="70" applyNumberFormat="1" applyFont="1" applyBorder="1" applyAlignment="1">
      <alignment wrapText="1"/>
      <protection/>
    </xf>
    <xf numFmtId="3" fontId="11" fillId="0" borderId="18" xfId="70" applyNumberFormat="1" applyFont="1" applyBorder="1" applyAlignment="1">
      <alignment wrapText="1"/>
      <protection/>
    </xf>
    <xf numFmtId="0" fontId="11" fillId="0" borderId="19" xfId="70" applyFont="1" applyBorder="1" applyAlignment="1">
      <alignment vertical="top" wrapText="1"/>
      <protection/>
    </xf>
    <xf numFmtId="3" fontId="11" fillId="0" borderId="17" xfId="70" applyNumberFormat="1" applyFont="1" applyFill="1" applyBorder="1" applyAlignment="1">
      <alignment wrapText="1"/>
      <protection/>
    </xf>
    <xf numFmtId="0" fontId="11" fillId="0" borderId="51" xfId="70" applyFont="1" applyFill="1" applyBorder="1" applyAlignment="1">
      <alignment wrapText="1"/>
      <protection/>
    </xf>
    <xf numFmtId="0" fontId="11" fillId="0" borderId="52" xfId="70" applyFont="1" applyFill="1" applyBorder="1" applyAlignment="1">
      <alignment wrapText="1"/>
      <protection/>
    </xf>
    <xf numFmtId="0" fontId="18" fillId="0" borderId="31" xfId="70" applyFont="1" applyBorder="1" applyAlignment="1">
      <alignment wrapText="1"/>
      <protection/>
    </xf>
    <xf numFmtId="0" fontId="18" fillId="0" borderId="24" xfId="70" applyFont="1" applyBorder="1" applyAlignment="1">
      <alignment wrapText="1"/>
      <protection/>
    </xf>
    <xf numFmtId="3" fontId="18" fillId="0" borderId="24" xfId="70" applyNumberFormat="1" applyFont="1" applyBorder="1" applyAlignment="1">
      <alignment wrapText="1"/>
      <protection/>
    </xf>
    <xf numFmtId="3" fontId="18" fillId="0" borderId="25" xfId="70" applyNumberFormat="1" applyFont="1" applyBorder="1" applyAlignment="1">
      <alignment wrapText="1"/>
      <protection/>
    </xf>
    <xf numFmtId="0" fontId="18" fillId="0" borderId="0" xfId="0" applyFont="1" applyAlignment="1">
      <alignment/>
    </xf>
    <xf numFmtId="1" fontId="11" fillId="0" borderId="17" xfId="70" applyNumberFormat="1" applyFont="1" applyBorder="1" applyAlignment="1">
      <alignment wrapText="1"/>
      <protection/>
    </xf>
    <xf numFmtId="1" fontId="11" fillId="0" borderId="18" xfId="70" applyNumberFormat="1" applyFont="1" applyBorder="1" applyAlignment="1">
      <alignment wrapText="1"/>
      <protection/>
    </xf>
    <xf numFmtId="0" fontId="18" fillId="0" borderId="53" xfId="70" applyFont="1" applyBorder="1" applyAlignment="1">
      <alignment wrapText="1"/>
      <protection/>
    </xf>
    <xf numFmtId="0" fontId="18" fillId="0" borderId="34" xfId="70" applyFont="1" applyBorder="1" applyAlignment="1">
      <alignment wrapText="1"/>
      <protection/>
    </xf>
    <xf numFmtId="1" fontId="18" fillId="0" borderId="34" xfId="70" applyNumberFormat="1" applyFont="1" applyBorder="1" applyAlignment="1">
      <alignment wrapText="1"/>
      <protection/>
    </xf>
    <xf numFmtId="1" fontId="18" fillId="0" borderId="54" xfId="70" applyNumberFormat="1" applyFont="1" applyBorder="1" applyAlignment="1">
      <alignment wrapText="1"/>
      <protection/>
    </xf>
    <xf numFmtId="3" fontId="0" fillId="0" borderId="0" xfId="0" applyNumberFormat="1" applyAlignment="1">
      <alignment horizontal="right"/>
    </xf>
    <xf numFmtId="185" fontId="11" fillId="0" borderId="17" xfId="70" applyNumberFormat="1" applyFont="1" applyBorder="1" applyAlignment="1">
      <alignment wrapText="1"/>
      <protection/>
    </xf>
    <xf numFmtId="185" fontId="11" fillId="0" borderId="18" xfId="70" applyNumberFormat="1" applyFont="1" applyBorder="1" applyAlignment="1">
      <alignment wrapText="1"/>
      <protection/>
    </xf>
    <xf numFmtId="185" fontId="18" fillId="0" borderId="24" xfId="70" applyNumberFormat="1" applyFont="1" applyBorder="1" applyAlignment="1">
      <alignment wrapText="1"/>
      <protection/>
    </xf>
    <xf numFmtId="185" fontId="18" fillId="0" borderId="25" xfId="70" applyNumberFormat="1" applyFont="1" applyBorder="1" applyAlignment="1">
      <alignment wrapText="1"/>
      <protection/>
    </xf>
    <xf numFmtId="180" fontId="19" fillId="0" borderId="55" xfId="70" applyNumberFormat="1" applyFont="1" applyBorder="1" applyAlignment="1">
      <alignment wrapText="1"/>
      <protection/>
    </xf>
    <xf numFmtId="3" fontId="11" fillId="0" borderId="52" xfId="70" applyNumberFormat="1" applyFont="1" applyFill="1" applyBorder="1" applyAlignment="1">
      <alignment wrapText="1"/>
      <protection/>
    </xf>
    <xf numFmtId="182" fontId="11" fillId="0" borderId="17" xfId="70" applyNumberFormat="1" applyBorder="1" applyAlignment="1">
      <alignment wrapText="1"/>
      <protection/>
    </xf>
    <xf numFmtId="0" fontId="51" fillId="0" borderId="56" xfId="0" applyFont="1" applyBorder="1" applyAlignment="1">
      <alignment vertical="top" wrapText="1"/>
    </xf>
    <xf numFmtId="0" fontId="51" fillId="0" borderId="57" xfId="0" applyFont="1" applyBorder="1" applyAlignment="1">
      <alignment vertical="top" wrapText="1"/>
    </xf>
    <xf numFmtId="0" fontId="51" fillId="24" borderId="58" xfId="0" applyFont="1" applyFill="1" applyBorder="1" applyAlignment="1">
      <alignment wrapText="1"/>
    </xf>
    <xf numFmtId="0" fontId="51" fillId="24" borderId="59" xfId="0" applyFont="1" applyFill="1" applyBorder="1" applyAlignment="1">
      <alignment wrapText="1"/>
    </xf>
    <xf numFmtId="0" fontId="51" fillId="24" borderId="60" xfId="0" applyFont="1" applyFill="1" applyBorder="1" applyAlignment="1">
      <alignment wrapText="1"/>
    </xf>
    <xf numFmtId="0" fontId="51" fillId="0" borderId="61" xfId="0" applyFont="1" applyBorder="1" applyAlignment="1">
      <alignment horizontal="center" wrapText="1"/>
    </xf>
    <xf numFmtId="0" fontId="51" fillId="0" borderId="47" xfId="0" applyFont="1" applyBorder="1" applyAlignment="1">
      <alignment horizontal="center" wrapText="1"/>
    </xf>
    <xf numFmtId="4" fontId="51" fillId="0" borderId="61" xfId="0" applyNumberFormat="1" applyFont="1" applyBorder="1" applyAlignment="1">
      <alignment horizontal="center" wrapText="1"/>
    </xf>
    <xf numFmtId="4" fontId="51" fillId="0" borderId="47" xfId="0" applyNumberFormat="1" applyFont="1" applyBorder="1" applyAlignment="1">
      <alignment horizontal="center" wrapText="1"/>
    </xf>
    <xf numFmtId="0" fontId="51" fillId="0" borderId="62" xfId="0" applyFont="1" applyBorder="1" applyAlignment="1">
      <alignment vertical="top" wrapText="1"/>
    </xf>
    <xf numFmtId="0" fontId="51" fillId="0" borderId="63" xfId="0" applyFont="1" applyBorder="1" applyAlignment="1">
      <alignment vertical="top" wrapText="1"/>
    </xf>
    <xf numFmtId="4" fontId="55" fillId="0" borderId="62" xfId="0" applyNumberFormat="1" applyFont="1" applyBorder="1" applyAlignment="1">
      <alignment vertical="top" wrapText="1"/>
    </xf>
    <xf numFmtId="4" fontId="55" fillId="0" borderId="64" xfId="0" applyNumberFormat="1" applyFont="1" applyBorder="1" applyAlignment="1">
      <alignment vertical="top" wrapText="1"/>
    </xf>
    <xf numFmtId="4" fontId="55" fillId="0" borderId="63" xfId="0" applyNumberFormat="1" applyFont="1" applyBorder="1" applyAlignment="1">
      <alignment vertical="top" wrapText="1"/>
    </xf>
    <xf numFmtId="0" fontId="51" fillId="24" borderId="62" xfId="0" applyFont="1" applyFill="1" applyBorder="1" applyAlignment="1">
      <alignment wrapText="1"/>
    </xf>
    <xf numFmtId="0" fontId="51" fillId="24" borderId="64" xfId="0" applyFont="1" applyFill="1" applyBorder="1" applyAlignment="1">
      <alignment wrapText="1"/>
    </xf>
    <xf numFmtId="0" fontId="51" fillId="24" borderId="63" xfId="0" applyFont="1" applyFill="1" applyBorder="1" applyAlignment="1">
      <alignment wrapText="1"/>
    </xf>
    <xf numFmtId="0" fontId="28" fillId="0" borderId="0" xfId="0" applyFont="1" applyBorder="1" applyAlignment="1">
      <alignment horizontal="left"/>
    </xf>
    <xf numFmtId="0" fontId="28" fillId="0" borderId="0" xfId="0" applyFont="1" applyBorder="1" applyAlignment="1">
      <alignment horizontal="right"/>
    </xf>
    <xf numFmtId="4" fontId="14" fillId="0" borderId="0" xfId="0" applyNumberFormat="1" applyFont="1" applyFill="1" applyBorder="1" applyAlignment="1">
      <alignment horizontal="center"/>
    </xf>
    <xf numFmtId="0" fontId="28" fillId="0" borderId="0" xfId="0" applyFont="1" applyBorder="1" applyAlignment="1">
      <alignment horizontal="center"/>
    </xf>
    <xf numFmtId="0" fontId="14" fillId="24" borderId="0" xfId="0" applyFont="1" applyFill="1" applyBorder="1" applyAlignment="1">
      <alignment horizontal="center" vertical="center" wrapText="1"/>
    </xf>
    <xf numFmtId="4" fontId="28" fillId="0" borderId="0" xfId="0" applyNumberFormat="1" applyFont="1" applyFill="1" applyBorder="1" applyAlignment="1">
      <alignment horizontal="left"/>
    </xf>
    <xf numFmtId="4" fontId="27" fillId="0" borderId="0" xfId="0" applyNumberFormat="1" applyFont="1" applyBorder="1" applyAlignment="1">
      <alignment horizontal="left"/>
    </xf>
    <xf numFmtId="0" fontId="31" fillId="27" borderId="0" xfId="0" applyFont="1" applyFill="1" applyAlignment="1">
      <alignment horizontal="center"/>
    </xf>
    <xf numFmtId="0" fontId="9" fillId="24" borderId="17" xfId="0" applyFont="1" applyFill="1" applyBorder="1" applyAlignment="1">
      <alignment horizontal="left"/>
    </xf>
    <xf numFmtId="0" fontId="32" fillId="27" borderId="0" xfId="0" applyFont="1" applyFill="1" applyAlignment="1">
      <alignment horizontal="center"/>
    </xf>
    <xf numFmtId="0" fontId="30" fillId="27" borderId="0" xfId="0" applyFont="1" applyFill="1" applyAlignment="1">
      <alignment horizontal="center"/>
    </xf>
    <xf numFmtId="0" fontId="9" fillId="27" borderId="17" xfId="0" applyFont="1" applyFill="1" applyBorder="1" applyAlignment="1">
      <alignment horizontal="center"/>
    </xf>
    <xf numFmtId="0" fontId="33" fillId="27" borderId="17" xfId="0" applyFont="1" applyFill="1" applyBorder="1" applyAlignment="1">
      <alignment horizontal="center"/>
    </xf>
    <xf numFmtId="0" fontId="9" fillId="27" borderId="17" xfId="0" applyFont="1" applyFill="1" applyBorder="1" applyAlignment="1">
      <alignment horizontal="left"/>
    </xf>
    <xf numFmtId="0" fontId="33" fillId="24" borderId="50" xfId="0" applyFont="1" applyFill="1" applyBorder="1" applyAlignment="1">
      <alignment horizontal="left"/>
    </xf>
    <xf numFmtId="0" fontId="33" fillId="24" borderId="65" xfId="0" applyFont="1" applyFill="1" applyBorder="1" applyAlignment="1">
      <alignment horizontal="left"/>
    </xf>
    <xf numFmtId="0" fontId="33" fillId="24" borderId="23" xfId="0" applyFont="1" applyFill="1" applyBorder="1" applyAlignment="1">
      <alignment horizontal="left"/>
    </xf>
    <xf numFmtId="0" fontId="30" fillId="27" borderId="17" xfId="0" applyFont="1" applyFill="1" applyBorder="1" applyAlignment="1">
      <alignment horizontal="center" vertical="center" wrapText="1"/>
    </xf>
    <xf numFmtId="0" fontId="30" fillId="27" borderId="66" xfId="0" applyFont="1" applyFill="1" applyBorder="1" applyAlignment="1">
      <alignment horizontal="center" vertical="center" wrapText="1"/>
    </xf>
    <xf numFmtId="0" fontId="30" fillId="27" borderId="67" xfId="0" applyFont="1" applyFill="1" applyBorder="1" applyAlignment="1">
      <alignment horizontal="center" vertical="center" wrapText="1"/>
    </xf>
    <xf numFmtId="0" fontId="30" fillId="28" borderId="26" xfId="0" applyFont="1" applyFill="1" applyBorder="1" applyAlignment="1">
      <alignment horizontal="center"/>
    </xf>
    <xf numFmtId="0" fontId="30" fillId="28" borderId="68" xfId="0" applyFont="1" applyFill="1" applyBorder="1" applyAlignment="1">
      <alignment horizontal="center"/>
    </xf>
    <xf numFmtId="15" fontId="30" fillId="25" borderId="26" xfId="0" applyNumberFormat="1" applyFont="1" applyFill="1" applyBorder="1" applyAlignment="1">
      <alignment horizontal="center"/>
    </xf>
    <xf numFmtId="0" fontId="33" fillId="27" borderId="17" xfId="0" applyFont="1" applyFill="1" applyBorder="1" applyAlignment="1">
      <alignment horizontal="left"/>
    </xf>
    <xf numFmtId="0" fontId="9" fillId="27" borderId="50" xfId="0" applyFont="1" applyFill="1" applyBorder="1" applyAlignment="1">
      <alignment horizontal="left"/>
    </xf>
    <xf numFmtId="0" fontId="9" fillId="27" borderId="65" xfId="0" applyFont="1" applyFill="1" applyBorder="1" applyAlignment="1">
      <alignment horizontal="left"/>
    </xf>
    <xf numFmtId="0" fontId="9" fillId="24" borderId="50" xfId="0" applyFont="1" applyFill="1" applyBorder="1" applyAlignment="1">
      <alignment horizontal="left" vertical="top" wrapText="1"/>
    </xf>
    <xf numFmtId="0" fontId="9" fillId="24" borderId="23" xfId="0" applyFont="1" applyFill="1" applyBorder="1" applyAlignment="1">
      <alignment horizontal="left" vertical="top" wrapText="1"/>
    </xf>
    <xf numFmtId="0" fontId="9" fillId="24" borderId="50" xfId="0" applyFont="1" applyFill="1" applyBorder="1" applyAlignment="1">
      <alignment horizontal="center"/>
    </xf>
    <xf numFmtId="0" fontId="9" fillId="24" borderId="65" xfId="0" applyFont="1" applyFill="1" applyBorder="1" applyAlignment="1">
      <alignment horizontal="center"/>
    </xf>
    <xf numFmtId="0" fontId="9" fillId="24" borderId="23" xfId="0" applyFont="1" applyFill="1" applyBorder="1" applyAlignment="1">
      <alignment horizontal="center"/>
    </xf>
    <xf numFmtId="0" fontId="9" fillId="27" borderId="50" xfId="0" applyFont="1" applyFill="1" applyBorder="1" applyAlignment="1">
      <alignment horizontal="center"/>
    </xf>
    <xf numFmtId="0" fontId="9" fillId="27" borderId="65" xfId="0" applyFont="1" applyFill="1" applyBorder="1" applyAlignment="1">
      <alignment horizontal="center"/>
    </xf>
    <xf numFmtId="0" fontId="9" fillId="27" borderId="23" xfId="0" applyFont="1" applyFill="1" applyBorder="1" applyAlignment="1">
      <alignment horizontal="center"/>
    </xf>
    <xf numFmtId="0" fontId="9" fillId="24" borderId="50" xfId="0" applyFont="1" applyFill="1" applyBorder="1" applyAlignment="1">
      <alignment horizontal="left"/>
    </xf>
    <xf numFmtId="0" fontId="9" fillId="24" borderId="23" xfId="0" applyFont="1" applyFill="1" applyBorder="1" applyAlignment="1">
      <alignment horizontal="left"/>
    </xf>
    <xf numFmtId="0" fontId="9" fillId="24" borderId="23" xfId="0" applyFont="1" applyFill="1" applyBorder="1" applyAlignment="1">
      <alignment/>
    </xf>
    <xf numFmtId="0" fontId="9" fillId="24" borderId="65" xfId="0" applyFont="1" applyFill="1" applyBorder="1" applyAlignment="1">
      <alignment horizontal="left"/>
    </xf>
    <xf numFmtId="0" fontId="9" fillId="27" borderId="23" xfId="0" applyFont="1" applyFill="1" applyBorder="1" applyAlignment="1">
      <alignment horizontal="left"/>
    </xf>
    <xf numFmtId="0" fontId="9" fillId="27" borderId="66" xfId="0" applyFont="1" applyFill="1" applyBorder="1" applyAlignment="1">
      <alignment horizontal="left"/>
    </xf>
    <xf numFmtId="0" fontId="27" fillId="0" borderId="32" xfId="0" applyFont="1" applyBorder="1" applyAlignment="1">
      <alignment horizontal="left"/>
    </xf>
    <xf numFmtId="0" fontId="27" fillId="0" borderId="67" xfId="0" applyFont="1" applyBorder="1" applyAlignment="1">
      <alignment horizontal="left"/>
    </xf>
    <xf numFmtId="0" fontId="31" fillId="27" borderId="17" xfId="0" applyFont="1" applyFill="1" applyBorder="1" applyAlignment="1">
      <alignment horizontal="center"/>
    </xf>
    <xf numFmtId="0" fontId="33" fillId="27" borderId="35" xfId="0" applyFont="1" applyFill="1" applyBorder="1" applyAlignment="1">
      <alignment horizontal="left"/>
    </xf>
    <xf numFmtId="0" fontId="27" fillId="0" borderId="20" xfId="0" applyFont="1" applyBorder="1" applyAlignment="1">
      <alignment horizontal="left"/>
    </xf>
    <xf numFmtId="0" fontId="27" fillId="0" borderId="27" xfId="0" applyFont="1" applyBorder="1" applyAlignment="1">
      <alignment horizontal="left"/>
    </xf>
    <xf numFmtId="0" fontId="18" fillId="0" borderId="69" xfId="70" applyFont="1" applyBorder="1" applyAlignment="1">
      <alignment horizontal="center" wrapText="1"/>
      <protection/>
    </xf>
    <xf numFmtId="0" fontId="18" fillId="0" borderId="65" xfId="70" applyFont="1" applyBorder="1" applyAlignment="1">
      <alignment horizontal="center" wrapText="1"/>
      <protection/>
    </xf>
    <xf numFmtId="0" fontId="18" fillId="0" borderId="23" xfId="70" applyFont="1" applyBorder="1" applyAlignment="1">
      <alignment horizontal="center" wrapText="1"/>
      <protection/>
    </xf>
    <xf numFmtId="0" fontId="11" fillId="4" borderId="26" xfId="71" applyFill="1" applyBorder="1" applyAlignment="1">
      <alignment horizontal="center"/>
      <protection/>
    </xf>
    <xf numFmtId="0" fontId="19" fillId="0" borderId="70" xfId="70" applyFont="1" applyBorder="1" applyAlignment="1">
      <alignment horizontal="center" wrapText="1"/>
      <protection/>
    </xf>
    <xf numFmtId="0" fontId="19" fillId="0" borderId="71" xfId="70" applyFont="1" applyBorder="1" applyAlignment="1">
      <alignment horizontal="center" wrapText="1"/>
      <protection/>
    </xf>
    <xf numFmtId="0" fontId="19" fillId="0" borderId="72" xfId="70" applyFont="1" applyBorder="1" applyAlignment="1">
      <alignment horizontal="center" wrapText="1"/>
      <protection/>
    </xf>
    <xf numFmtId="4" fontId="11" fillId="0" borderId="26" xfId="71" applyNumberFormat="1" applyBorder="1" applyAlignment="1">
      <alignment horizontal="center"/>
      <protection/>
    </xf>
    <xf numFmtId="0" fontId="14" fillId="0" borderId="0" xfId="70" applyFont="1" applyFill="1" applyBorder="1" applyAlignment="1">
      <alignment horizontal="center"/>
      <protection/>
    </xf>
    <xf numFmtId="4" fontId="18" fillId="0" borderId="73" xfId="70" applyNumberFormat="1" applyFont="1" applyBorder="1" applyAlignment="1">
      <alignment horizontal="center" vertical="center"/>
      <protection/>
    </xf>
    <xf numFmtId="4" fontId="18" fillId="0" borderId="74" xfId="70" applyNumberFormat="1" applyFont="1" applyBorder="1" applyAlignment="1">
      <alignment horizontal="center" vertical="center"/>
      <protection/>
    </xf>
    <xf numFmtId="0" fontId="18" fillId="0" borderId="75" xfId="70" applyFont="1" applyBorder="1" applyAlignment="1">
      <alignment horizontal="center" vertical="center" wrapText="1"/>
      <protection/>
    </xf>
    <xf numFmtId="0" fontId="18" fillId="0" borderId="21" xfId="70" applyFont="1" applyBorder="1" applyAlignment="1">
      <alignment horizontal="center" vertical="center" wrapText="1"/>
      <protection/>
    </xf>
    <xf numFmtId="0" fontId="18" fillId="0" borderId="76" xfId="70" applyFont="1" applyBorder="1" applyAlignment="1">
      <alignment horizontal="center" vertical="center" wrapText="1"/>
      <protection/>
    </xf>
    <xf numFmtId="0" fontId="18" fillId="0" borderId="22" xfId="70" applyFont="1" applyBorder="1" applyAlignment="1">
      <alignment horizontal="center" vertical="center" wrapText="1"/>
      <protection/>
    </xf>
    <xf numFmtId="0" fontId="18" fillId="0" borderId="0" xfId="71" applyFont="1" applyAlignment="1">
      <alignment horizontal="left"/>
      <protection/>
    </xf>
    <xf numFmtId="0" fontId="19" fillId="0" borderId="69" xfId="70" applyFont="1" applyBorder="1" applyAlignment="1">
      <alignment horizontal="center" wrapText="1"/>
      <protection/>
    </xf>
    <xf numFmtId="0" fontId="19" fillId="0" borderId="65" xfId="70" applyFont="1" applyBorder="1" applyAlignment="1">
      <alignment horizontal="center" wrapText="1"/>
      <protection/>
    </xf>
    <xf numFmtId="0" fontId="19" fillId="0" borderId="23" xfId="70" applyFont="1" applyBorder="1" applyAlignment="1">
      <alignment horizontal="center" wrapText="1"/>
      <protection/>
    </xf>
    <xf numFmtId="0" fontId="18" fillId="0" borderId="77" xfId="70" applyFont="1" applyBorder="1" applyAlignment="1">
      <alignment horizontal="center" wrapText="1"/>
      <protection/>
    </xf>
    <xf numFmtId="0" fontId="18" fillId="0" borderId="78" xfId="70" applyFont="1" applyBorder="1" applyAlignment="1">
      <alignment horizontal="center" wrapText="1"/>
      <protection/>
    </xf>
    <xf numFmtId="0" fontId="18" fillId="0" borderId="79" xfId="70" applyFont="1" applyBorder="1" applyAlignment="1">
      <alignment horizontal="center" wrapText="1"/>
      <protection/>
    </xf>
    <xf numFmtId="0" fontId="18" fillId="0" borderId="80" xfId="70" applyFont="1" applyBorder="1" applyAlignment="1">
      <alignment horizontal="center" wrapText="1"/>
      <protection/>
    </xf>
    <xf numFmtId="0" fontId="18" fillId="0" borderId="0" xfId="70" applyFont="1" applyBorder="1" applyAlignment="1">
      <alignment horizontal="center" wrapText="1"/>
      <protection/>
    </xf>
    <xf numFmtId="0" fontId="18" fillId="0" borderId="81" xfId="70" applyFont="1" applyBorder="1" applyAlignment="1">
      <alignment horizontal="center" wrapText="1"/>
      <protection/>
    </xf>
    <xf numFmtId="0" fontId="19" fillId="0" borderId="82" xfId="70" applyFont="1" applyBorder="1" applyAlignment="1">
      <alignment horizontal="center" wrapText="1"/>
      <protection/>
    </xf>
    <xf numFmtId="0" fontId="19" fillId="0" borderId="83" xfId="70" applyFont="1" applyBorder="1" applyAlignment="1">
      <alignment horizontal="center" wrapText="1"/>
      <protection/>
    </xf>
    <xf numFmtId="0" fontId="14" fillId="0" borderId="0" xfId="70" applyFont="1" applyFill="1" applyAlignment="1">
      <alignment horizontal="center"/>
      <protection/>
    </xf>
    <xf numFmtId="0" fontId="18" fillId="28" borderId="77" xfId="70" applyFont="1" applyFill="1" applyBorder="1" applyAlignment="1">
      <alignment horizontal="center" vertical="center" wrapText="1"/>
      <protection/>
    </xf>
    <xf numFmtId="0" fontId="18" fillId="28" borderId="78" xfId="70" applyFont="1" applyFill="1" applyBorder="1" applyAlignment="1">
      <alignment horizontal="center" vertical="center" wrapText="1"/>
      <protection/>
    </xf>
    <xf numFmtId="0" fontId="18" fillId="28" borderId="79" xfId="70" applyFont="1" applyFill="1" applyBorder="1" applyAlignment="1">
      <alignment horizontal="center" vertical="center" wrapText="1"/>
      <protection/>
    </xf>
    <xf numFmtId="0" fontId="11" fillId="0" borderId="80" xfId="70" applyFont="1" applyBorder="1" applyAlignment="1">
      <alignment horizontal="center"/>
      <protection/>
    </xf>
    <xf numFmtId="0" fontId="11" fillId="0" borderId="0" xfId="70" applyFont="1" applyBorder="1" applyAlignment="1">
      <alignment horizontal="center"/>
      <protection/>
    </xf>
    <xf numFmtId="0" fontId="11" fillId="0" borderId="81" xfId="70" applyFont="1" applyBorder="1" applyAlignment="1">
      <alignment horizontal="center"/>
      <protection/>
    </xf>
    <xf numFmtId="3" fontId="56" fillId="0" borderId="29" xfId="0" applyNumberFormat="1" applyFont="1" applyFill="1" applyBorder="1" applyAlignment="1">
      <alignment horizontal="center" wrapText="1"/>
    </xf>
    <xf numFmtId="0" fontId="56" fillId="0" borderId="29" xfId="0" applyFont="1" applyFill="1" applyBorder="1" applyAlignment="1">
      <alignment horizontal="center" wrapText="1"/>
    </xf>
    <xf numFmtId="0" fontId="56" fillId="0" borderId="30" xfId="0" applyFont="1" applyFill="1" applyBorder="1" applyAlignment="1">
      <alignment horizontal="center" wrapText="1"/>
    </xf>
    <xf numFmtId="0" fontId="57" fillId="0" borderId="84" xfId="70" applyFont="1" applyBorder="1" applyAlignment="1">
      <alignment horizontal="center" wrapText="1"/>
      <protection/>
    </xf>
    <xf numFmtId="0" fontId="57" fillId="0" borderId="85" xfId="70" applyFont="1" applyBorder="1" applyAlignment="1">
      <alignment horizontal="center" wrapText="1"/>
      <protection/>
    </xf>
    <xf numFmtId="0" fontId="57" fillId="0" borderId="74" xfId="70" applyFont="1" applyBorder="1" applyAlignment="1">
      <alignment horizontal="center" wrapText="1"/>
      <protection/>
    </xf>
    <xf numFmtId="0" fontId="18" fillId="0" borderId="0" xfId="71" applyFont="1" applyFill="1" applyBorder="1" applyAlignment="1">
      <alignment horizontal="center"/>
      <protection/>
    </xf>
    <xf numFmtId="0" fontId="14" fillId="0" borderId="0" xfId="71" applyFont="1" applyFill="1" applyBorder="1" applyAlignment="1">
      <alignment horizontal="center"/>
      <protection/>
    </xf>
    <xf numFmtId="178" fontId="11" fillId="0" borderId="0" xfId="71" applyNumberFormat="1" applyBorder="1" applyAlignment="1">
      <alignment horizontal="center"/>
      <protection/>
    </xf>
    <xf numFmtId="0" fontId="18" fillId="25" borderId="26" xfId="71" applyFont="1" applyFill="1" applyBorder="1" applyAlignment="1">
      <alignment horizontal="center" vertical="top" wrapText="1"/>
      <protection/>
    </xf>
    <xf numFmtId="0" fontId="11" fillId="4" borderId="68" xfId="71" applyFill="1" applyBorder="1" applyAlignment="1">
      <alignment horizontal="center"/>
      <protection/>
    </xf>
    <xf numFmtId="0" fontId="18" fillId="0" borderId="32" xfId="71" applyFont="1" applyBorder="1" applyAlignment="1">
      <alignment horizontal="left"/>
      <protection/>
    </xf>
    <xf numFmtId="0" fontId="18" fillId="25" borderId="26" xfId="71" applyFont="1" applyFill="1" applyBorder="1" applyAlignment="1">
      <alignment horizontal="center"/>
      <protection/>
    </xf>
    <xf numFmtId="171" fontId="11" fillId="0" borderId="0" xfId="71" applyNumberFormat="1" applyAlignment="1">
      <alignment horizontal="center"/>
      <protection/>
    </xf>
    <xf numFmtId="0" fontId="11" fillId="0" borderId="0" xfId="71" applyAlignment="1">
      <alignment horizontal="center"/>
      <protection/>
    </xf>
    <xf numFmtId="0" fontId="11" fillId="0" borderId="0" xfId="71" applyFont="1" applyAlignment="1">
      <alignment horizontal="center"/>
      <protection/>
    </xf>
    <xf numFmtId="0" fontId="11" fillId="0" borderId="26" xfId="71" applyBorder="1" applyAlignment="1">
      <alignment horizontal="center"/>
      <protection/>
    </xf>
    <xf numFmtId="0" fontId="11" fillId="0" borderId="50" xfId="71" applyBorder="1" applyAlignment="1">
      <alignment horizontal="center"/>
      <protection/>
    </xf>
    <xf numFmtId="0" fontId="11" fillId="0" borderId="65" xfId="71" applyBorder="1" applyAlignment="1">
      <alignment horizontal="center"/>
      <protection/>
    </xf>
    <xf numFmtId="0" fontId="11" fillId="0" borderId="23" xfId="71" applyBorder="1" applyAlignment="1">
      <alignment horizontal="center"/>
      <protection/>
    </xf>
    <xf numFmtId="0" fontId="31" fillId="0" borderId="17" xfId="71" applyFont="1" applyBorder="1" applyAlignment="1">
      <alignment horizontal="center" vertical="center"/>
      <protection/>
    </xf>
    <xf numFmtId="182" fontId="11" fillId="0" borderId="17" xfId="71" applyNumberFormat="1" applyBorder="1" applyAlignment="1">
      <alignment horizontal="center"/>
      <protection/>
    </xf>
    <xf numFmtId="4" fontId="11" fillId="0" borderId="17" xfId="71" applyNumberFormat="1" applyBorder="1" applyAlignment="1">
      <alignment horizontal="center"/>
      <protection/>
    </xf>
    <xf numFmtId="0" fontId="11" fillId="0" borderId="17" xfId="71" applyBorder="1" applyAlignment="1">
      <alignment horizontal="center"/>
      <protection/>
    </xf>
    <xf numFmtId="4" fontId="11" fillId="0" borderId="50" xfId="71" applyNumberFormat="1" applyBorder="1" applyAlignment="1">
      <alignment horizontal="center"/>
      <protection/>
    </xf>
    <xf numFmtId="4" fontId="11" fillId="0" borderId="65" xfId="71" applyNumberFormat="1" applyBorder="1" applyAlignment="1">
      <alignment horizontal="center"/>
      <protection/>
    </xf>
    <xf numFmtId="4" fontId="11" fillId="0" borderId="23" xfId="71" applyNumberFormat="1" applyBorder="1" applyAlignment="1">
      <alignment horizontal="center"/>
      <protection/>
    </xf>
    <xf numFmtId="0" fontId="30" fillId="0" borderId="17" xfId="71" applyFont="1" applyBorder="1" applyAlignment="1">
      <alignment horizontal="center" vertical="center" wrapText="1"/>
      <protection/>
    </xf>
    <xf numFmtId="182" fontId="31" fillId="0" borderId="17" xfId="71" applyNumberFormat="1" applyFont="1" applyBorder="1" applyAlignment="1">
      <alignment horizontal="center" vertical="center"/>
      <protection/>
    </xf>
    <xf numFmtId="4" fontId="11" fillId="0" borderId="34" xfId="71" applyNumberFormat="1" applyFont="1" applyBorder="1" applyAlignment="1">
      <alignment horizontal="center" vertical="top" wrapText="1"/>
      <protection/>
    </xf>
    <xf numFmtId="4" fontId="11" fillId="0" borderId="22" xfId="71" applyNumberFormat="1" applyFont="1" applyBorder="1" applyAlignment="1">
      <alignment horizontal="center" vertical="top" wrapText="1"/>
      <protection/>
    </xf>
    <xf numFmtId="4" fontId="14" fillId="0" borderId="0" xfId="71" applyNumberFormat="1" applyFont="1" applyAlignment="1">
      <alignment horizontal="center"/>
      <protection/>
    </xf>
    <xf numFmtId="4" fontId="11" fillId="0" borderId="17" xfId="71" applyNumberFormat="1" applyFont="1" applyBorder="1" applyAlignment="1">
      <alignment horizontal="center" vertical="top" wrapText="1"/>
      <protection/>
    </xf>
    <xf numFmtId="4" fontId="27" fillId="0" borderId="0" xfId="71" applyNumberFormat="1" applyFont="1" applyAlignment="1">
      <alignment horizontal="center"/>
      <protection/>
    </xf>
    <xf numFmtId="0" fontId="11" fillId="0" borderId="17" xfId="71" applyFont="1" applyBorder="1" applyAlignment="1">
      <alignment horizontal="left" vertical="top" wrapText="1"/>
      <protection/>
    </xf>
    <xf numFmtId="0" fontId="11" fillId="0" borderId="17" xfId="71" applyFont="1" applyBorder="1" applyAlignment="1">
      <alignment horizontal="right" vertical="top" wrapText="1"/>
      <protection/>
    </xf>
    <xf numFmtId="0" fontId="23" fillId="0" borderId="86" xfId="68" applyFont="1" applyFill="1" applyBorder="1" applyAlignment="1">
      <alignment horizontal="center" vertical="top" wrapText="1"/>
      <protection/>
    </xf>
    <xf numFmtId="0" fontId="23" fillId="0" borderId="87" xfId="68" applyFont="1" applyFill="1" applyBorder="1" applyAlignment="1">
      <alignment horizontal="center" vertical="top" wrapText="1"/>
      <protection/>
    </xf>
    <xf numFmtId="0" fontId="23" fillId="0" borderId="40" xfId="68" applyFont="1" applyFill="1" applyBorder="1" applyAlignment="1">
      <alignment horizontal="center"/>
      <protection/>
    </xf>
    <xf numFmtId="0" fontId="23" fillId="0" borderId="41" xfId="68" applyFont="1" applyFill="1" applyBorder="1" applyAlignment="1">
      <alignment horizontal="center"/>
      <protection/>
    </xf>
    <xf numFmtId="0" fontId="22" fillId="0" borderId="40" xfId="68" applyFont="1" applyFill="1" applyBorder="1" applyAlignment="1">
      <alignment horizontal="center"/>
      <protection/>
    </xf>
    <xf numFmtId="0" fontId="22" fillId="0" borderId="41" xfId="68" applyFont="1" applyFill="1" applyBorder="1" applyAlignment="1">
      <alignment horizontal="center"/>
      <protection/>
    </xf>
    <xf numFmtId="0" fontId="22" fillId="0" borderId="42" xfId="68" applyFont="1" applyFill="1" applyBorder="1" applyAlignment="1">
      <alignment horizontal="center"/>
      <protection/>
    </xf>
    <xf numFmtId="0" fontId="23" fillId="0" borderId="88" xfId="68" applyFont="1" applyFill="1" applyBorder="1" applyAlignment="1">
      <alignment horizontal="center" vertical="top"/>
      <protection/>
    </xf>
    <xf numFmtId="0" fontId="23" fillId="0" borderId="86" xfId="68" applyFont="1" applyFill="1" applyBorder="1" applyAlignment="1">
      <alignment horizontal="center" vertical="top"/>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p tabel" xfId="41"/>
    <cellStyle name="caseta" xfId="42"/>
    <cellStyle name="Category" xfId="43"/>
    <cellStyle name="Check Cell" xfId="44"/>
    <cellStyle name="Comma" xfId="45"/>
    <cellStyle name="Comma [0]" xfId="46"/>
    <cellStyle name="Comma_toro_deviz_gen.obiect" xfId="47"/>
    <cellStyle name="Currency" xfId="48"/>
    <cellStyle name="Currency [0]" xfId="49"/>
    <cellStyle name="Domiu"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input2" xfId="60"/>
    <cellStyle name="input3" xfId="61"/>
    <cellStyle name="input34" xfId="62"/>
    <cellStyle name="insert mic" xfId="63"/>
    <cellStyle name="Linked Cell" xfId="64"/>
    <cellStyle name="needitabil" xfId="65"/>
    <cellStyle name="Neutral" xfId="66"/>
    <cellStyle name="Normal_Deviz-gen-CABANA" xfId="67"/>
    <cellStyle name="Normal_M.3.1.-2 ver6.0" xfId="68"/>
    <cellStyle name="Normal_SF-grafic" xfId="69"/>
    <cellStyle name="Normal_Sheet3" xfId="70"/>
    <cellStyle name="Normal_toro_deviz_gen.obiect" xfId="71"/>
    <cellStyle name="Normal3.1" xfId="72"/>
    <cellStyle name="normal3.4" xfId="73"/>
    <cellStyle name="Note" xfId="74"/>
    <cellStyle name="Output" xfId="75"/>
    <cellStyle name="Percent" xfId="76"/>
    <cellStyle name="Title" xfId="77"/>
    <cellStyle name="Total" xfId="78"/>
    <cellStyle name="Ttilu"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_PRO-EM\TERV-2009\09-02%20PRIM%20TG-SEC\kabin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asznos%20infok\MINTA%20deviz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6">
          <cell r="G16">
            <v>84</v>
          </cell>
        </row>
        <row r="17">
          <cell r="G17">
            <v>197.4</v>
          </cell>
        </row>
        <row r="18">
          <cell r="G18">
            <v>394.8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bun"/>
      <sheetName val="deviz pe obiect"/>
      <sheetName val="Grafic "/>
    </sheetNames>
    <sheetDataSet>
      <sheetData sheetId="0">
        <row r="26">
          <cell r="D26">
            <v>0</v>
          </cell>
        </row>
        <row r="27">
          <cell r="D27">
            <v>0</v>
          </cell>
        </row>
        <row r="28">
          <cell r="D28">
            <v>0</v>
          </cell>
        </row>
        <row r="29">
          <cell r="D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J47"/>
  <sheetViews>
    <sheetView tabSelected="1" zoomScale="73" zoomScaleNormal="73" zoomScalePageLayoutView="0" workbookViewId="0" topLeftCell="A1">
      <selection activeCell="L19" sqref="L19"/>
    </sheetView>
  </sheetViews>
  <sheetFormatPr defaultColWidth="8.796875" defaultRowHeight="15"/>
  <cols>
    <col min="1" max="1" width="10.59765625" style="44" customWidth="1"/>
    <col min="2" max="2" width="31.8984375" style="44" customWidth="1"/>
    <col min="3" max="3" width="13.8984375" style="256" customWidth="1"/>
    <col min="4" max="4" width="13.69921875" style="257" customWidth="1"/>
    <col min="5" max="5" width="12.5" style="256" customWidth="1"/>
    <col min="6" max="7" width="12.69921875" style="44" hidden="1" customWidth="1"/>
    <col min="8" max="8" width="10.59765625" style="44" hidden="1" customWidth="1"/>
    <col min="9" max="9" width="15.19921875" style="44" customWidth="1"/>
    <col min="10" max="16384" width="9" style="44" customWidth="1"/>
  </cols>
  <sheetData>
    <row r="1" spans="1:10" ht="30">
      <c r="A1" s="344" t="s">
        <v>286</v>
      </c>
      <c r="B1" s="344" t="s">
        <v>287</v>
      </c>
      <c r="C1" s="233" t="s">
        <v>288</v>
      </c>
      <c r="D1" s="234" t="s">
        <v>289</v>
      </c>
      <c r="E1" s="346" t="s">
        <v>113</v>
      </c>
      <c r="J1" s="264"/>
    </row>
    <row r="2" spans="1:10" ht="17.25" thickBot="1">
      <c r="A2" s="345"/>
      <c r="B2" s="345"/>
      <c r="C2" s="235" t="s">
        <v>290</v>
      </c>
      <c r="D2" s="236" t="s">
        <v>290</v>
      </c>
      <c r="E2" s="347"/>
      <c r="J2" s="264"/>
    </row>
    <row r="3" spans="1:5" ht="18" thickBot="1">
      <c r="A3" s="237">
        <v>1</v>
      </c>
      <c r="B3" s="238">
        <v>2</v>
      </c>
      <c r="C3" s="239">
        <v>3</v>
      </c>
      <c r="D3" s="240">
        <v>4</v>
      </c>
      <c r="E3" s="239" t="s">
        <v>291</v>
      </c>
    </row>
    <row r="4" spans="1:5" ht="16.5">
      <c r="A4" s="241">
        <v>1</v>
      </c>
      <c r="B4" s="341" t="s">
        <v>292</v>
      </c>
      <c r="C4" s="342"/>
      <c r="D4" s="342"/>
      <c r="E4" s="343"/>
    </row>
    <row r="5" spans="1:5" ht="16.5">
      <c r="A5" s="242" t="s">
        <v>293</v>
      </c>
      <c r="B5" s="243" t="s">
        <v>294</v>
      </c>
      <c r="C5" s="244"/>
      <c r="D5" s="245"/>
      <c r="E5" s="244">
        <f>(C5+D5)*0.24</f>
        <v>0</v>
      </c>
    </row>
    <row r="6" spans="1:5" ht="16.5">
      <c r="A6" s="242" t="s">
        <v>295</v>
      </c>
      <c r="B6" s="243" t="s">
        <v>9</v>
      </c>
      <c r="C6" s="244"/>
      <c r="D6" s="245"/>
      <c r="E6" s="244">
        <f>(C6+D6)*0.24</f>
        <v>0</v>
      </c>
    </row>
    <row r="7" spans="1:5" ht="16.5">
      <c r="A7" s="242" t="s">
        <v>296</v>
      </c>
      <c r="B7" s="243" t="s">
        <v>297</v>
      </c>
      <c r="C7" s="244"/>
      <c r="D7" s="245"/>
      <c r="E7" s="244">
        <f>(C7+D7)*0.24</f>
        <v>0</v>
      </c>
    </row>
    <row r="8" spans="1:5" ht="15.75" thickBot="1">
      <c r="A8" s="339" t="s">
        <v>298</v>
      </c>
      <c r="B8" s="340"/>
      <c r="C8" s="246">
        <f>SUM(C5:C7)</f>
        <v>0</v>
      </c>
      <c r="D8" s="247">
        <f>SUM(D5:D7)</f>
        <v>0</v>
      </c>
      <c r="E8" s="246">
        <f>SUM(E5:E7)</f>
        <v>0</v>
      </c>
    </row>
    <row r="9" spans="1:5" ht="16.5">
      <c r="A9" s="241">
        <v>2</v>
      </c>
      <c r="B9" s="341" t="s">
        <v>299</v>
      </c>
      <c r="C9" s="342"/>
      <c r="D9" s="342"/>
      <c r="E9" s="343"/>
    </row>
    <row r="10" spans="1:5" ht="16.5">
      <c r="A10" s="242" t="s">
        <v>300</v>
      </c>
      <c r="B10" s="248" t="s">
        <v>301</v>
      </c>
      <c r="C10" s="244">
        <f>'Deviz-general'!D20*1000</f>
        <v>11461.460000000001</v>
      </c>
      <c r="D10" s="245"/>
      <c r="E10" s="244">
        <f>(C10+D10)*0.24</f>
        <v>2750.7504</v>
      </c>
    </row>
    <row r="11" spans="1:5" ht="15.75" thickBot="1">
      <c r="A11" s="339" t="s">
        <v>302</v>
      </c>
      <c r="B11" s="340"/>
      <c r="C11" s="246">
        <f>C10</f>
        <v>11461.460000000001</v>
      </c>
      <c r="D11" s="247">
        <f>D10</f>
        <v>0</v>
      </c>
      <c r="E11" s="246">
        <f>E10</f>
        <v>2750.7504</v>
      </c>
    </row>
    <row r="12" spans="1:5" ht="16.5">
      <c r="A12" s="241">
        <v>3</v>
      </c>
      <c r="B12" s="341" t="s">
        <v>303</v>
      </c>
      <c r="C12" s="342"/>
      <c r="D12" s="342"/>
      <c r="E12" s="343"/>
    </row>
    <row r="13" spans="1:5" ht="16.5">
      <c r="A13" s="242" t="s">
        <v>304</v>
      </c>
      <c r="B13" s="248" t="s">
        <v>305</v>
      </c>
      <c r="C13" s="244">
        <f>'F2'!D21*1000</f>
        <v>8564.91</v>
      </c>
      <c r="D13" s="245">
        <f>('Deviz-general'!D33+'Deviz-general'!D35-'F2'!D21)*1000</f>
        <v>1189370.31</v>
      </c>
      <c r="E13" s="244">
        <f>(C13+D13)*0.24</f>
        <v>287504.45279999997</v>
      </c>
    </row>
    <row r="14" spans="1:5" ht="16.5">
      <c r="A14" s="242" t="s">
        <v>306</v>
      </c>
      <c r="B14" s="243" t="s">
        <v>307</v>
      </c>
      <c r="C14" s="244">
        <f>'F4-D'!I12*1000</f>
        <v>26064.200000000004</v>
      </c>
      <c r="D14" s="245">
        <f>'F4-D'!I13*1000</f>
        <v>16000</v>
      </c>
      <c r="E14" s="244">
        <f>(C14+D14)*0.24</f>
        <v>10095.408000000001</v>
      </c>
    </row>
    <row r="15" spans="1:5" ht="15.75" thickBot="1">
      <c r="A15" s="339" t="s">
        <v>308</v>
      </c>
      <c r="B15" s="340"/>
      <c r="C15" s="246">
        <f>SUM(C13:C14)</f>
        <v>34629.11</v>
      </c>
      <c r="D15" s="247">
        <f>SUM(D13:D14)</f>
        <v>1205370.31</v>
      </c>
      <c r="E15" s="246">
        <f>SUM(E13:E14)</f>
        <v>297599.86079999997</v>
      </c>
    </row>
    <row r="16" spans="1:5" ht="16.5">
      <c r="A16" s="241">
        <v>4</v>
      </c>
      <c r="B16" s="341" t="s">
        <v>309</v>
      </c>
      <c r="C16" s="342"/>
      <c r="D16" s="342"/>
      <c r="E16" s="343"/>
    </row>
    <row r="17" spans="1:5" ht="16.5">
      <c r="A17" s="242" t="s">
        <v>310</v>
      </c>
      <c r="B17" s="248" t="s">
        <v>311</v>
      </c>
      <c r="C17" s="244"/>
      <c r="D17" s="245">
        <f>'Deviz-general'!D43*1000</f>
        <v>29561.223</v>
      </c>
      <c r="E17" s="244">
        <f>(C17+D17)*0.24</f>
        <v>7094.69352</v>
      </c>
    </row>
    <row r="18" spans="1:5" ht="15.75" thickBot="1">
      <c r="A18" s="339" t="s">
        <v>312</v>
      </c>
      <c r="B18" s="340"/>
      <c r="C18" s="246">
        <f>C17</f>
        <v>0</v>
      </c>
      <c r="D18" s="247">
        <f>D17</f>
        <v>29561.223</v>
      </c>
      <c r="E18" s="246">
        <f>E17</f>
        <v>7094.69352</v>
      </c>
    </row>
    <row r="19" spans="1:5" ht="16.5">
      <c r="A19" s="241">
        <v>5</v>
      </c>
      <c r="B19" s="341" t="s">
        <v>313</v>
      </c>
      <c r="C19" s="342"/>
      <c r="D19" s="342"/>
      <c r="E19" s="343"/>
    </row>
    <row r="20" spans="1:5" ht="15">
      <c r="A20" s="249" t="s">
        <v>314</v>
      </c>
      <c r="B20" s="250" t="s">
        <v>315</v>
      </c>
      <c r="C20" s="244"/>
      <c r="D20" s="245">
        <f>'Deviz-general'!D48*1000</f>
        <v>42300</v>
      </c>
      <c r="E20" s="244">
        <f>(C20+D20)*0.24</f>
        <v>10152</v>
      </c>
    </row>
    <row r="21" spans="1:5" ht="15.75" thickBot="1">
      <c r="A21" s="339" t="s">
        <v>316</v>
      </c>
      <c r="B21" s="340"/>
      <c r="C21" s="246">
        <f>C20</f>
        <v>0</v>
      </c>
      <c r="D21" s="247">
        <f>D20</f>
        <v>42300</v>
      </c>
      <c r="E21" s="246">
        <f>E20</f>
        <v>10152</v>
      </c>
    </row>
    <row r="22" spans="1:5" ht="17.25" thickBot="1">
      <c r="A22" s="251">
        <v>6</v>
      </c>
      <c r="B22" s="353" t="s">
        <v>317</v>
      </c>
      <c r="C22" s="354"/>
      <c r="D22" s="354"/>
      <c r="E22" s="355"/>
    </row>
    <row r="23" spans="1:5" ht="90">
      <c r="A23" s="249" t="s">
        <v>318</v>
      </c>
      <c r="B23" s="252" t="s">
        <v>319</v>
      </c>
      <c r="C23" s="244">
        <f>('Deviz-general'!D29+'Deviz-general'!D46)*1000</f>
        <v>185529.97000000003</v>
      </c>
      <c r="D23" s="245"/>
      <c r="E23" s="244">
        <f>('Deviz-general'!F29+'Deviz-general'!F46)*1000</f>
        <v>41426.63279999999</v>
      </c>
    </row>
    <row r="24" spans="1:8" ht="15.75" thickBot="1">
      <c r="A24" s="339" t="s">
        <v>320</v>
      </c>
      <c r="B24" s="340"/>
      <c r="C24" s="246">
        <f>C23</f>
        <v>185529.97000000003</v>
      </c>
      <c r="D24" s="247">
        <f>D23</f>
        <v>0</v>
      </c>
      <c r="E24" s="246">
        <f>E23</f>
        <v>41426.63279999999</v>
      </c>
      <c r="F24" s="254">
        <f>C25+D25</f>
        <v>1508852.073</v>
      </c>
      <c r="G24" s="254">
        <f>'Deviz-general'!D56*1000</f>
        <v>1508852.073</v>
      </c>
      <c r="H24" s="255">
        <f>G24-F24</f>
        <v>0</v>
      </c>
    </row>
    <row r="25" spans="1:8" ht="15.75" thickBot="1">
      <c r="A25" s="348" t="s">
        <v>321</v>
      </c>
      <c r="B25" s="349"/>
      <c r="C25" s="253">
        <f>C24+C21+C18+C15+C11+C8</f>
        <v>231620.54</v>
      </c>
      <c r="D25" s="294">
        <f>D24+D21+D18+D15+D11+D8</f>
        <v>1277231.533</v>
      </c>
      <c r="E25" s="253">
        <f>E24+E21+E18+E15+E11+E8</f>
        <v>359023.93752</v>
      </c>
      <c r="F25" s="254">
        <f>'Deviz-general'!F56*1000</f>
        <v>359023.93752</v>
      </c>
      <c r="G25" s="255">
        <f>F25-E25</f>
        <v>0</v>
      </c>
      <c r="H25" s="263"/>
    </row>
    <row r="26" spans="1:8" ht="15.75" thickBot="1">
      <c r="A26" s="348" t="s">
        <v>322</v>
      </c>
      <c r="B26" s="349"/>
      <c r="C26" s="350">
        <f>C25+D25+E25</f>
        <v>1867876.01052</v>
      </c>
      <c r="D26" s="351"/>
      <c r="E26" s="352"/>
      <c r="F26" s="254">
        <f>'Deviz-general'!G56*1000</f>
        <v>1867876.01052</v>
      </c>
      <c r="G26" s="255">
        <f>C26-F26</f>
        <v>0</v>
      </c>
      <c r="H26" s="263"/>
    </row>
    <row r="27" spans="1:4" ht="18">
      <c r="A27" s="357"/>
      <c r="B27" s="357"/>
      <c r="C27" s="358"/>
      <c r="D27" s="358"/>
    </row>
    <row r="29" spans="1:3" ht="18">
      <c r="A29" s="359"/>
      <c r="B29" s="359"/>
      <c r="C29" s="359"/>
    </row>
    <row r="30" spans="1:4" ht="15">
      <c r="A30" s="46"/>
      <c r="B30" s="46"/>
      <c r="C30" s="258"/>
      <c r="D30" s="259"/>
    </row>
    <row r="31" spans="1:9" ht="15">
      <c r="A31" s="46"/>
      <c r="B31" s="360"/>
      <c r="C31" s="360"/>
      <c r="D31" s="360"/>
      <c r="E31" s="360"/>
      <c r="F31" s="360"/>
      <c r="G31" s="360"/>
      <c r="H31" s="224"/>
      <c r="I31" s="224"/>
    </row>
    <row r="32" spans="1:9" ht="15">
      <c r="A32" s="46"/>
      <c r="B32" s="360"/>
      <c r="C32" s="360"/>
      <c r="D32" s="360"/>
      <c r="E32" s="360"/>
      <c r="F32" s="360"/>
      <c r="G32" s="360"/>
      <c r="I32" s="224"/>
    </row>
    <row r="33" spans="1:3" ht="15">
      <c r="A33" s="46"/>
      <c r="B33" s="46"/>
      <c r="C33" s="258"/>
    </row>
    <row r="34" spans="1:5" ht="18">
      <c r="A34" s="359"/>
      <c r="B34" s="359"/>
      <c r="C34" s="361"/>
      <c r="D34" s="361"/>
      <c r="E34" s="361"/>
    </row>
    <row r="35" spans="3:5" ht="15">
      <c r="C35" s="362"/>
      <c r="D35" s="362"/>
      <c r="E35" s="362"/>
    </row>
    <row r="36" spans="3:5" ht="18">
      <c r="C36" s="361"/>
      <c r="D36" s="361"/>
      <c r="E36" s="260"/>
    </row>
    <row r="37" spans="1:3" ht="15">
      <c r="A37" s="46"/>
      <c r="B37" s="46"/>
      <c r="C37" s="258"/>
    </row>
    <row r="38" spans="3:4" ht="15">
      <c r="C38" s="258"/>
      <c r="D38" s="259"/>
    </row>
    <row r="39" spans="1:2" ht="18">
      <c r="A39" s="359"/>
      <c r="B39" s="359"/>
    </row>
    <row r="40" spans="1:7" ht="15">
      <c r="A40" s="46"/>
      <c r="B40" s="360"/>
      <c r="C40" s="360"/>
      <c r="D40" s="360"/>
      <c r="E40" s="360"/>
      <c r="F40" s="360"/>
      <c r="G40" s="360"/>
    </row>
    <row r="41" spans="1:7" ht="15">
      <c r="A41" s="46"/>
      <c r="B41" s="360"/>
      <c r="C41" s="360"/>
      <c r="D41" s="360"/>
      <c r="E41" s="360"/>
      <c r="F41" s="360"/>
      <c r="G41" s="360"/>
    </row>
    <row r="42" spans="2:4" ht="15">
      <c r="B42" s="46"/>
      <c r="C42" s="258"/>
      <c r="D42" s="259"/>
    </row>
    <row r="47" spans="1:8" ht="18">
      <c r="A47" s="45"/>
      <c r="B47" s="356"/>
      <c r="C47" s="356"/>
      <c r="D47" s="356"/>
      <c r="E47" s="356"/>
      <c r="F47" s="356"/>
      <c r="G47" s="356"/>
      <c r="H47" s="356"/>
    </row>
  </sheetData>
  <sheetProtection/>
  <mergeCells count="29">
    <mergeCell ref="C36:D36"/>
    <mergeCell ref="A39:B39"/>
    <mergeCell ref="B40:G41"/>
    <mergeCell ref="A24:B24"/>
    <mergeCell ref="A25:B25"/>
    <mergeCell ref="B47:H47"/>
    <mergeCell ref="A27:B27"/>
    <mergeCell ref="C27:D27"/>
    <mergeCell ref="A29:C29"/>
    <mergeCell ref="B31:G32"/>
    <mergeCell ref="A34:B34"/>
    <mergeCell ref="C34:E34"/>
    <mergeCell ref="C35:E35"/>
    <mergeCell ref="A26:B26"/>
    <mergeCell ref="C26:E26"/>
    <mergeCell ref="A11:B11"/>
    <mergeCell ref="B12:E12"/>
    <mergeCell ref="A15:B15"/>
    <mergeCell ref="B16:E16"/>
    <mergeCell ref="A18:B18"/>
    <mergeCell ref="B19:E19"/>
    <mergeCell ref="A21:B21"/>
    <mergeCell ref="B22:E22"/>
    <mergeCell ref="A8:B8"/>
    <mergeCell ref="B9:E9"/>
    <mergeCell ref="A1:A2"/>
    <mergeCell ref="B1:B2"/>
    <mergeCell ref="E1:E2"/>
    <mergeCell ref="B4:E4"/>
  </mergeCells>
  <printOptions/>
  <pageMargins left="0.7" right="0.7" top="0.75" bottom="0.75" header="0.3" footer="0.3"/>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251</v>
      </c>
      <c r="B5" s="443"/>
      <c r="C5" s="443"/>
      <c r="D5" s="443"/>
    </row>
    <row r="6" spans="1:4" s="4" customFormat="1" ht="12.75">
      <c r="A6" s="216" t="s">
        <v>194</v>
      </c>
      <c r="B6" s="216"/>
      <c r="C6" s="445" t="str">
        <f>'F4-U'!B13</f>
        <v>Sonda NTC boiler (HT)</v>
      </c>
      <c r="D6" s="445"/>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12.75">
      <c r="A10" s="167">
        <v>1</v>
      </c>
      <c r="B10" s="168" t="s">
        <v>198</v>
      </c>
      <c r="C10" s="217" t="str">
        <f>'F4-U'!B13</f>
        <v>Sonda NTC boiler (HT)</v>
      </c>
      <c r="D10" s="169"/>
      <c r="E10" s="84"/>
      <c r="F10" s="76"/>
      <c r="G10" s="76"/>
    </row>
    <row r="11" spans="1:7" ht="12.75">
      <c r="A11" s="167"/>
      <c r="B11" s="168"/>
      <c r="C11" s="79"/>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79"/>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1.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252</v>
      </c>
      <c r="B5" s="443"/>
      <c r="C5" s="443"/>
      <c r="D5" s="443"/>
    </row>
    <row r="6" spans="1:4" s="4" customFormat="1" ht="12.75">
      <c r="A6" s="216" t="s">
        <v>194</v>
      </c>
      <c r="B6" s="216"/>
      <c r="C6" s="445" t="s">
        <v>253</v>
      </c>
      <c r="D6" s="445"/>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63.75">
      <c r="A10" s="167">
        <v>1</v>
      </c>
      <c r="B10" s="168" t="s">
        <v>198</v>
      </c>
      <c r="C10" s="218" t="s">
        <v>255</v>
      </c>
      <c r="D10" s="169"/>
      <c r="E10" s="84"/>
      <c r="F10" s="76"/>
      <c r="G10" s="76"/>
    </row>
    <row r="11" spans="1:7" ht="12.75">
      <c r="A11" s="167"/>
      <c r="B11" s="168"/>
      <c r="C11" s="79"/>
      <c r="D11" s="169"/>
      <c r="E11" s="84"/>
      <c r="F11" s="76"/>
      <c r="G11" s="76"/>
    </row>
    <row r="12" spans="1:7" ht="51">
      <c r="A12" s="167">
        <v>2</v>
      </c>
      <c r="B12" s="170" t="s">
        <v>199</v>
      </c>
      <c r="C12" s="219" t="s">
        <v>256</v>
      </c>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79"/>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2.xml><?xml version="1.0" encoding="utf-8"?>
<worksheet xmlns="http://schemas.openxmlformats.org/spreadsheetml/2006/main" xmlns:r="http://schemas.openxmlformats.org/officeDocument/2006/relationships">
  <dimension ref="A1:K62"/>
  <sheetViews>
    <sheetView zoomScalePageLayoutView="0" workbookViewId="0" topLeftCell="A1">
      <selection activeCell="A3" sqref="A3:D3"/>
    </sheetView>
  </sheetViews>
  <sheetFormatPr defaultColWidth="8" defaultRowHeight="15"/>
  <cols>
    <col min="1" max="1" width="6.09765625" style="102" customWidth="1"/>
    <col min="2" max="2" width="29.09765625" style="75" customWidth="1"/>
    <col min="3" max="3" width="6.19921875" style="103" customWidth="1"/>
    <col min="4" max="4" width="7.5" style="103" customWidth="1"/>
    <col min="5" max="5" width="8.59765625" style="103" customWidth="1"/>
    <col min="6" max="6" width="11.19921875" style="103" customWidth="1"/>
    <col min="7" max="7" width="11.19921875" style="75" customWidth="1"/>
    <col min="8" max="8" width="9.59765625" style="75" customWidth="1"/>
    <col min="9" max="9" width="9.5" style="75" customWidth="1"/>
    <col min="10" max="10" width="8" style="75" customWidth="1"/>
    <col min="11" max="11" width="11.09765625" style="75" customWidth="1"/>
    <col min="12" max="16384" width="8" style="75" customWidth="1"/>
  </cols>
  <sheetData>
    <row r="1" spans="1:8" s="4" customFormat="1" ht="12.75">
      <c r="A1" s="447" t="s">
        <v>123</v>
      </c>
      <c r="B1" s="447"/>
      <c r="C1" s="447"/>
      <c r="D1" s="208"/>
      <c r="E1" s="209"/>
      <c r="F1" s="210"/>
      <c r="G1" s="211"/>
      <c r="H1" s="211"/>
    </row>
    <row r="2" spans="1:6" s="4" customFormat="1" ht="12.75">
      <c r="A2" s="405" t="s">
        <v>232</v>
      </c>
      <c r="B2" s="405"/>
      <c r="C2" s="405"/>
      <c r="D2" s="405"/>
      <c r="E2" s="405"/>
      <c r="F2" s="23"/>
    </row>
    <row r="3" spans="1:6" s="4" customFormat="1" ht="12.75">
      <c r="A3" s="405" t="s">
        <v>333</v>
      </c>
      <c r="B3" s="405"/>
      <c r="C3" s="405"/>
      <c r="D3" s="405"/>
      <c r="E3" s="20"/>
      <c r="F3" s="23"/>
    </row>
    <row r="4" spans="1:6" s="4" customFormat="1" ht="12.75">
      <c r="A4" s="70"/>
      <c r="B4" s="70"/>
      <c r="C4" s="70"/>
      <c r="D4" s="70"/>
      <c r="E4" s="20"/>
      <c r="F4" s="23"/>
    </row>
    <row r="5" spans="1:8" s="4" customFormat="1" ht="15.75">
      <c r="A5" s="443" t="s">
        <v>169</v>
      </c>
      <c r="B5" s="443"/>
      <c r="C5" s="443"/>
      <c r="D5" s="443"/>
      <c r="E5" s="443"/>
      <c r="F5" s="443"/>
      <c r="G5" s="443"/>
      <c r="H5" s="443"/>
    </row>
    <row r="6" spans="1:8" s="4" customFormat="1" ht="12.75">
      <c r="A6" s="442" t="s">
        <v>215</v>
      </c>
      <c r="B6" s="442"/>
      <c r="C6" s="442"/>
      <c r="D6" s="442"/>
      <c r="E6" s="442"/>
      <c r="F6" s="442"/>
      <c r="G6" s="442"/>
      <c r="H6" s="442"/>
    </row>
    <row r="7" spans="1:7" ht="15.75" thickBot="1">
      <c r="A7" s="105"/>
      <c r="B7" s="105"/>
      <c r="C7" s="105"/>
      <c r="D7" s="105"/>
      <c r="E7" s="105"/>
      <c r="F7" s="105"/>
      <c r="G7" s="105"/>
    </row>
    <row r="8" spans="1:11" ht="51">
      <c r="A8" s="106" t="s">
        <v>69</v>
      </c>
      <c r="B8" s="107" t="s">
        <v>165</v>
      </c>
      <c r="C8" s="108" t="s">
        <v>162</v>
      </c>
      <c r="D8" s="108" t="s">
        <v>163</v>
      </c>
      <c r="E8" s="108" t="s">
        <v>166</v>
      </c>
      <c r="F8" s="108" t="s">
        <v>170</v>
      </c>
      <c r="G8" s="107" t="s">
        <v>167</v>
      </c>
      <c r="H8" s="109" t="s">
        <v>168</v>
      </c>
      <c r="I8" s="78"/>
      <c r="J8" s="76"/>
      <c r="K8" s="76"/>
    </row>
    <row r="9" spans="1:11" ht="12.75">
      <c r="A9" s="110">
        <v>0</v>
      </c>
      <c r="B9" s="77">
        <v>1</v>
      </c>
      <c r="C9" s="123">
        <v>2</v>
      </c>
      <c r="D9" s="123">
        <v>3</v>
      </c>
      <c r="E9" s="123">
        <v>4</v>
      </c>
      <c r="F9" s="123">
        <v>5</v>
      </c>
      <c r="G9" s="77">
        <v>6</v>
      </c>
      <c r="H9" s="111">
        <v>7</v>
      </c>
      <c r="I9" s="78"/>
      <c r="J9" s="76"/>
      <c r="K9" s="76"/>
    </row>
    <row r="10" spans="1:11" ht="12.75">
      <c r="A10" s="167">
        <v>1</v>
      </c>
      <c r="B10" s="168" t="s">
        <v>217</v>
      </c>
      <c r="C10" s="206" t="s">
        <v>164</v>
      </c>
      <c r="D10" s="80">
        <v>8</v>
      </c>
      <c r="E10" s="289">
        <v>1600</v>
      </c>
      <c r="F10" s="80">
        <f>D10*E10/1000</f>
        <v>12.8</v>
      </c>
      <c r="G10" s="83"/>
      <c r="H10" s="113" t="s">
        <v>216</v>
      </c>
      <c r="I10" s="84"/>
      <c r="J10" s="76"/>
      <c r="K10" s="76"/>
    </row>
    <row r="11" spans="1:11" ht="12.75">
      <c r="A11" s="167">
        <v>2</v>
      </c>
      <c r="B11" s="168" t="s">
        <v>218</v>
      </c>
      <c r="C11" s="206" t="s">
        <v>164</v>
      </c>
      <c r="D11" s="80">
        <v>8</v>
      </c>
      <c r="E11" s="289">
        <v>450</v>
      </c>
      <c r="F11" s="80">
        <f aca="true" t="shared" si="0" ref="F11:F18">D11*E11/1000</f>
        <v>3.6</v>
      </c>
      <c r="G11" s="83"/>
      <c r="H11" s="113" t="s">
        <v>222</v>
      </c>
      <c r="I11" s="84"/>
      <c r="J11" s="76"/>
      <c r="K11" s="76"/>
    </row>
    <row r="12" spans="1:11" ht="25.5">
      <c r="A12" s="167">
        <v>3</v>
      </c>
      <c r="B12" s="170" t="s">
        <v>245</v>
      </c>
      <c r="C12" s="213" t="s">
        <v>164</v>
      </c>
      <c r="D12" s="202">
        <v>1</v>
      </c>
      <c r="E12" s="202">
        <v>4000</v>
      </c>
      <c r="F12" s="202">
        <f t="shared" si="0"/>
        <v>4</v>
      </c>
      <c r="G12" s="203"/>
      <c r="H12" s="204" t="s">
        <v>224</v>
      </c>
      <c r="I12" s="293">
        <f>F10+F11+F13+F14+F15+F16</f>
        <v>26.064200000000003</v>
      </c>
      <c r="J12" s="292" t="s">
        <v>331</v>
      </c>
      <c r="K12" s="76"/>
    </row>
    <row r="13" spans="1:11" ht="25.5">
      <c r="A13" s="167">
        <v>4</v>
      </c>
      <c r="B13" s="170" t="s">
        <v>246</v>
      </c>
      <c r="C13" s="213" t="s">
        <v>164</v>
      </c>
      <c r="D13" s="202">
        <v>7</v>
      </c>
      <c r="E13" s="290">
        <v>1200</v>
      </c>
      <c r="F13" s="202">
        <f t="shared" si="0"/>
        <v>8.4</v>
      </c>
      <c r="G13" s="203"/>
      <c r="H13" s="204" t="s">
        <v>225</v>
      </c>
      <c r="I13" s="291">
        <f>F12+F17+F18</f>
        <v>16</v>
      </c>
      <c r="J13" s="292" t="s">
        <v>332</v>
      </c>
      <c r="K13" s="76"/>
    </row>
    <row r="14" spans="1:11" ht="12.75">
      <c r="A14" s="167">
        <v>5</v>
      </c>
      <c r="B14" s="168" t="s">
        <v>219</v>
      </c>
      <c r="C14" s="206" t="s">
        <v>164</v>
      </c>
      <c r="D14" s="80">
        <v>8</v>
      </c>
      <c r="E14" s="289">
        <f>'[1]Sheet1'!$G$16</f>
        <v>84</v>
      </c>
      <c r="F14" s="80">
        <f t="shared" si="0"/>
        <v>0.672</v>
      </c>
      <c r="G14" s="83"/>
      <c r="H14" s="113" t="s">
        <v>237</v>
      </c>
      <c r="I14" s="84"/>
      <c r="J14" s="76"/>
      <c r="K14" s="76"/>
    </row>
    <row r="15" spans="1:11" ht="12.75">
      <c r="A15" s="167">
        <v>6</v>
      </c>
      <c r="B15" s="168" t="s">
        <v>220</v>
      </c>
      <c r="C15" s="206" t="s">
        <v>164</v>
      </c>
      <c r="D15" s="80">
        <v>1</v>
      </c>
      <c r="E15" s="289">
        <f>'[1]Sheet1'!$G$17</f>
        <v>197.4</v>
      </c>
      <c r="F15" s="80">
        <f t="shared" si="0"/>
        <v>0.1974</v>
      </c>
      <c r="G15" s="83"/>
      <c r="H15" s="113" t="s">
        <v>238</v>
      </c>
      <c r="I15" s="84"/>
      <c r="J15" s="76"/>
      <c r="K15" s="76"/>
    </row>
    <row r="16" spans="1:11" ht="12.75">
      <c r="A16" s="167">
        <v>7</v>
      </c>
      <c r="B16" s="168" t="s">
        <v>221</v>
      </c>
      <c r="C16" s="206" t="s">
        <v>164</v>
      </c>
      <c r="D16" s="80">
        <v>1</v>
      </c>
      <c r="E16" s="289">
        <f>'[1]Sheet1'!$G$18</f>
        <v>394.8</v>
      </c>
      <c r="F16" s="80">
        <f t="shared" si="0"/>
        <v>0.3948</v>
      </c>
      <c r="G16" s="83"/>
      <c r="H16" s="113" t="s">
        <v>239</v>
      </c>
      <c r="I16" s="84"/>
      <c r="J16" s="76"/>
      <c r="K16" s="76"/>
    </row>
    <row r="17" spans="1:11" ht="12.75">
      <c r="A17" s="167">
        <v>8</v>
      </c>
      <c r="B17" s="170" t="s">
        <v>223</v>
      </c>
      <c r="C17" s="206" t="s">
        <v>164</v>
      </c>
      <c r="D17" s="80">
        <v>2</v>
      </c>
      <c r="E17" s="80">
        <v>3500</v>
      </c>
      <c r="F17" s="80">
        <f t="shared" si="0"/>
        <v>7</v>
      </c>
      <c r="G17" s="83"/>
      <c r="H17" s="113" t="s">
        <v>240</v>
      </c>
      <c r="I17" s="84"/>
      <c r="J17" s="76"/>
      <c r="K17" s="76"/>
    </row>
    <row r="18" spans="1:11" ht="12.75">
      <c r="A18" s="167">
        <v>9</v>
      </c>
      <c r="B18" s="170" t="s">
        <v>233</v>
      </c>
      <c r="C18" s="206" t="s">
        <v>164</v>
      </c>
      <c r="D18" s="80">
        <v>2</v>
      </c>
      <c r="E18" s="80">
        <v>2500</v>
      </c>
      <c r="F18" s="80">
        <f t="shared" si="0"/>
        <v>5</v>
      </c>
      <c r="G18" s="83"/>
      <c r="H18" s="113" t="s">
        <v>241</v>
      </c>
      <c r="I18" s="84"/>
      <c r="J18" s="76"/>
      <c r="K18" s="76"/>
    </row>
    <row r="19" spans="1:11" ht="12.75">
      <c r="A19" s="114"/>
      <c r="B19" s="85" t="s">
        <v>52</v>
      </c>
      <c r="C19" s="86"/>
      <c r="D19" s="87"/>
      <c r="E19" s="88"/>
      <c r="F19" s="89">
        <f>SUM(F10:F18)</f>
        <v>42.0642</v>
      </c>
      <c r="G19" s="81"/>
      <c r="H19" s="115"/>
      <c r="I19" s="84"/>
      <c r="J19" s="76"/>
      <c r="K19" s="76"/>
    </row>
    <row r="20" spans="1:11" ht="12.75">
      <c r="A20" s="112"/>
      <c r="B20" s="104" t="s">
        <v>171</v>
      </c>
      <c r="C20" s="88"/>
      <c r="D20" s="88"/>
      <c r="E20" s="90"/>
      <c r="F20" s="89">
        <f>F19*1.24</f>
        <v>52.159608</v>
      </c>
      <c r="G20" s="81"/>
      <c r="H20" s="115"/>
      <c r="I20" s="84"/>
      <c r="J20" s="76"/>
      <c r="K20" s="76"/>
    </row>
    <row r="21" spans="1:11" ht="13.5" thickBot="1">
      <c r="A21" s="116"/>
      <c r="B21" s="117" t="s">
        <v>172</v>
      </c>
      <c r="C21" s="118"/>
      <c r="D21" s="118"/>
      <c r="E21" s="119"/>
      <c r="F21" s="120">
        <f>F20/D23*1000</f>
        <v>12190.242123959986</v>
      </c>
      <c r="G21" s="121"/>
      <c r="H21" s="122"/>
      <c r="I21" s="84"/>
      <c r="J21" s="76"/>
      <c r="K21" s="76"/>
    </row>
    <row r="22" spans="1:11" ht="18" customHeight="1">
      <c r="A22" s="92"/>
      <c r="B22" s="93"/>
      <c r="C22" s="94"/>
      <c r="D22" s="94"/>
      <c r="E22" s="94"/>
      <c r="F22" s="94"/>
      <c r="G22" s="92"/>
      <c r="H22" s="76"/>
      <c r="I22" s="76"/>
      <c r="J22" s="76"/>
      <c r="K22" s="91"/>
    </row>
    <row r="23" spans="2:7" s="4" customFormat="1" ht="12.75">
      <c r="B23" s="61" t="s">
        <v>145</v>
      </c>
      <c r="D23" s="62">
        <f>'Deviz-general'!$D$6</f>
        <v>4.2788</v>
      </c>
      <c r="E23" s="63" t="s">
        <v>146</v>
      </c>
      <c r="G23" s="207"/>
    </row>
    <row r="24" spans="2:5" s="4" customFormat="1" ht="12.75">
      <c r="B24" s="61" t="s">
        <v>2</v>
      </c>
      <c r="D24" s="444" t="str">
        <f>'Deviz-general'!$G$6</f>
        <v>01-31.12.2009</v>
      </c>
      <c r="E24" s="444"/>
    </row>
    <row r="25" spans="4:5" s="4" customFormat="1" ht="12.75">
      <c r="D25" s="20"/>
      <c r="E25" s="23"/>
    </row>
    <row r="26" s="4" customFormat="1" ht="15">
      <c r="E26" s="65" t="s">
        <v>117</v>
      </c>
    </row>
    <row r="27" spans="4:5" s="4" customFormat="1" ht="12.75">
      <c r="D27" s="20"/>
      <c r="E27" s="23"/>
    </row>
    <row r="28" spans="5:6" s="4" customFormat="1" ht="12.75">
      <c r="E28" s="409"/>
      <c r="F28" s="409"/>
    </row>
    <row r="29" spans="1:7" ht="18" customHeight="1">
      <c r="A29" s="95"/>
      <c r="B29" s="76"/>
      <c r="C29" s="98"/>
      <c r="D29" s="98"/>
      <c r="E29" s="82"/>
      <c r="F29" s="100"/>
      <c r="G29" s="76"/>
    </row>
    <row r="30" spans="1:7" ht="18" customHeight="1">
      <c r="A30" s="92"/>
      <c r="B30" s="93"/>
      <c r="C30" s="94"/>
      <c r="D30" s="94"/>
      <c r="E30" s="94"/>
      <c r="F30" s="94"/>
      <c r="G30" s="76"/>
    </row>
    <row r="31" spans="1:7" ht="18" customHeight="1">
      <c r="A31" s="95"/>
      <c r="B31" s="76"/>
      <c r="C31" s="101"/>
      <c r="D31" s="91"/>
      <c r="E31" s="91"/>
      <c r="F31" s="91"/>
      <c r="G31" s="76"/>
    </row>
    <row r="32" spans="1:7" ht="18" customHeight="1">
      <c r="A32" s="95"/>
      <c r="B32" s="76"/>
      <c r="C32" s="101"/>
      <c r="D32" s="91"/>
      <c r="E32" s="91"/>
      <c r="F32" s="91"/>
      <c r="G32" s="76"/>
    </row>
    <row r="33" spans="1:7" ht="18" customHeight="1">
      <c r="A33" s="95"/>
      <c r="B33" s="76"/>
      <c r="C33" s="101"/>
      <c r="D33" s="91"/>
      <c r="E33" s="91"/>
      <c r="F33" s="91"/>
      <c r="G33" s="76"/>
    </row>
    <row r="34" spans="1:7" ht="18" customHeight="1">
      <c r="A34" s="95"/>
      <c r="B34" s="76"/>
      <c r="C34" s="101"/>
      <c r="D34" s="91"/>
      <c r="E34" s="91"/>
      <c r="F34" s="91"/>
      <c r="G34" s="76"/>
    </row>
    <row r="35" spans="1:7" ht="18" customHeight="1">
      <c r="A35" s="95"/>
      <c r="B35" s="76"/>
      <c r="C35" s="101"/>
      <c r="D35" s="91"/>
      <c r="E35" s="91"/>
      <c r="F35" s="91"/>
      <c r="G35" s="76"/>
    </row>
    <row r="36" spans="1:7" ht="18" customHeight="1">
      <c r="A36" s="95"/>
      <c r="B36" s="76"/>
      <c r="C36" s="101"/>
      <c r="D36" s="91"/>
      <c r="E36" s="91"/>
      <c r="F36" s="91"/>
      <c r="G36" s="76"/>
    </row>
    <row r="37" spans="1:7" ht="18" customHeight="1">
      <c r="A37" s="95"/>
      <c r="B37" s="76"/>
      <c r="C37" s="101"/>
      <c r="D37" s="91"/>
      <c r="E37" s="91"/>
      <c r="F37" s="91"/>
      <c r="G37" s="76"/>
    </row>
    <row r="38" spans="1:7" ht="18" customHeight="1">
      <c r="A38" s="95"/>
      <c r="B38" s="76"/>
      <c r="C38" s="101"/>
      <c r="D38" s="91"/>
      <c r="E38" s="91"/>
      <c r="F38" s="91"/>
      <c r="G38" s="76"/>
    </row>
    <row r="39" spans="1:7" ht="18" customHeight="1">
      <c r="A39" s="95"/>
      <c r="B39" s="76"/>
      <c r="C39" s="101"/>
      <c r="D39" s="91"/>
      <c r="E39" s="91"/>
      <c r="F39" s="91"/>
      <c r="G39" s="76"/>
    </row>
    <row r="40" spans="1:7" ht="18" customHeight="1">
      <c r="A40" s="95"/>
      <c r="B40" s="76"/>
      <c r="C40" s="101"/>
      <c r="D40" s="91"/>
      <c r="E40" s="91"/>
      <c r="F40" s="91"/>
      <c r="G40" s="76"/>
    </row>
    <row r="41" spans="1:7" ht="18" customHeight="1">
      <c r="A41" s="95"/>
      <c r="B41" s="76"/>
      <c r="C41" s="101"/>
      <c r="D41" s="91"/>
      <c r="E41" s="91"/>
      <c r="F41" s="91"/>
      <c r="G41" s="76"/>
    </row>
    <row r="42" spans="1:7" ht="18" customHeight="1">
      <c r="A42" s="95"/>
      <c r="B42" s="76"/>
      <c r="C42" s="101"/>
      <c r="D42" s="91"/>
      <c r="E42" s="91"/>
      <c r="F42" s="91"/>
      <c r="G42" s="76"/>
    </row>
    <row r="43" spans="1:7" ht="18" customHeight="1">
      <c r="A43" s="95"/>
      <c r="B43" s="76"/>
      <c r="C43" s="101"/>
      <c r="D43" s="91"/>
      <c r="E43" s="91"/>
      <c r="F43" s="91"/>
      <c r="G43" s="76"/>
    </row>
    <row r="44" spans="1:7" ht="18" customHeight="1">
      <c r="A44" s="95"/>
      <c r="B44" s="76"/>
      <c r="C44" s="101"/>
      <c r="D44" s="91"/>
      <c r="E44" s="91"/>
      <c r="F44" s="91"/>
      <c r="G44" s="76"/>
    </row>
    <row r="45" spans="1:7" ht="18" customHeight="1">
      <c r="A45" s="95"/>
      <c r="B45" s="76"/>
      <c r="C45" s="101"/>
      <c r="D45" s="91"/>
      <c r="E45" s="91"/>
      <c r="F45" s="91"/>
      <c r="G45" s="76"/>
    </row>
    <row r="46" spans="1:7" ht="18" customHeight="1">
      <c r="A46" s="95"/>
      <c r="B46" s="76"/>
      <c r="C46" s="101"/>
      <c r="D46" s="91"/>
      <c r="E46" s="91"/>
      <c r="F46" s="91"/>
      <c r="G46" s="76"/>
    </row>
    <row r="47" spans="1:7" ht="18" customHeight="1">
      <c r="A47" s="95"/>
      <c r="B47" s="76"/>
      <c r="C47" s="101"/>
      <c r="D47" s="91"/>
      <c r="E47" s="91"/>
      <c r="F47" s="91"/>
      <c r="G47" s="76"/>
    </row>
    <row r="48" spans="1:7" ht="18" customHeight="1">
      <c r="A48" s="95"/>
      <c r="B48" s="76"/>
      <c r="C48" s="101"/>
      <c r="D48" s="91"/>
      <c r="E48" s="91"/>
      <c r="F48" s="91"/>
      <c r="G48" s="76"/>
    </row>
    <row r="49" spans="1:7" ht="18" customHeight="1">
      <c r="A49" s="95"/>
      <c r="B49" s="76"/>
      <c r="C49" s="101"/>
      <c r="D49" s="91"/>
      <c r="E49" s="91"/>
      <c r="F49" s="91"/>
      <c r="G49" s="76"/>
    </row>
    <row r="50" spans="1:7" ht="18" customHeight="1">
      <c r="A50" s="95"/>
      <c r="B50" s="76"/>
      <c r="C50" s="101"/>
      <c r="D50" s="91"/>
      <c r="E50" s="91"/>
      <c r="F50" s="91"/>
      <c r="G50" s="76"/>
    </row>
    <row r="51" spans="1:7" ht="18" customHeight="1">
      <c r="A51" s="95"/>
      <c r="B51" s="76"/>
      <c r="C51" s="91"/>
      <c r="D51" s="91"/>
      <c r="E51" s="91"/>
      <c r="F51" s="91"/>
      <c r="G51" s="76"/>
    </row>
    <row r="52" spans="1:7" ht="18" customHeight="1">
      <c r="A52" s="99"/>
      <c r="B52" s="100"/>
      <c r="C52" s="96"/>
      <c r="D52" s="97"/>
      <c r="E52" s="98"/>
      <c r="F52" s="82"/>
      <c r="G52" s="91"/>
    </row>
    <row r="53" spans="1:7" ht="18" customHeight="1">
      <c r="A53" s="95"/>
      <c r="B53" s="76"/>
      <c r="C53" s="98"/>
      <c r="D53" s="98"/>
      <c r="E53" s="82"/>
      <c r="F53" s="100"/>
      <c r="G53" s="76"/>
    </row>
    <row r="54" spans="1:7" ht="18" customHeight="1">
      <c r="A54" s="95"/>
      <c r="B54" s="76"/>
      <c r="C54" s="91"/>
      <c r="D54" s="91"/>
      <c r="E54" s="91"/>
      <c r="F54" s="91"/>
      <c r="G54" s="76"/>
    </row>
    <row r="55" spans="1:7" ht="18" customHeight="1">
      <c r="A55" s="95"/>
      <c r="B55" s="76"/>
      <c r="C55" s="91"/>
      <c r="D55" s="91"/>
      <c r="E55" s="91"/>
      <c r="F55" s="91"/>
      <c r="G55" s="76"/>
    </row>
    <row r="56" spans="1:7" ht="12.75">
      <c r="A56" s="95"/>
      <c r="B56" s="76"/>
      <c r="C56" s="91"/>
      <c r="D56" s="91"/>
      <c r="E56" s="91"/>
      <c r="F56" s="91"/>
      <c r="G56" s="76"/>
    </row>
    <row r="57" spans="1:7" ht="12.75">
      <c r="A57" s="99"/>
      <c r="B57" s="76"/>
      <c r="C57" s="91"/>
      <c r="D57" s="91"/>
      <c r="E57" s="91"/>
      <c r="F57" s="91"/>
      <c r="G57" s="76"/>
    </row>
    <row r="58" spans="1:7" ht="12.75">
      <c r="A58" s="99"/>
      <c r="B58" s="76"/>
      <c r="C58" s="91"/>
      <c r="D58" s="91"/>
      <c r="E58" s="91"/>
      <c r="F58" s="91"/>
      <c r="G58" s="76"/>
    </row>
    <row r="59" spans="1:7" ht="12.75">
      <c r="A59" s="99"/>
      <c r="B59" s="76"/>
      <c r="C59" s="91"/>
      <c r="D59" s="91"/>
      <c r="E59" s="91"/>
      <c r="F59" s="91"/>
      <c r="G59" s="76"/>
    </row>
    <row r="60" spans="1:7" ht="12.75">
      <c r="A60" s="99"/>
      <c r="B60" s="76"/>
      <c r="C60" s="91"/>
      <c r="D60" s="91"/>
      <c r="E60" s="91"/>
      <c r="F60" s="91"/>
      <c r="G60" s="76"/>
    </row>
    <row r="61" spans="1:7" ht="12.75">
      <c r="A61" s="99"/>
      <c r="B61" s="76"/>
      <c r="C61" s="91"/>
      <c r="D61" s="91"/>
      <c r="E61" s="91"/>
      <c r="F61" s="91"/>
      <c r="G61" s="76"/>
    </row>
    <row r="62" spans="1:7" ht="12.75">
      <c r="A62" s="99"/>
      <c r="B62" s="76"/>
      <c r="C62" s="91"/>
      <c r="D62" s="91"/>
      <c r="E62" s="91"/>
      <c r="F62" s="91"/>
      <c r="G62" s="76"/>
    </row>
  </sheetData>
  <sheetProtection/>
  <mergeCells count="7">
    <mergeCell ref="E28:F28"/>
    <mergeCell ref="A1:C1"/>
    <mergeCell ref="A3:D3"/>
    <mergeCell ref="A6:H6"/>
    <mergeCell ref="A5:H5"/>
    <mergeCell ref="A2:E2"/>
    <mergeCell ref="D24:E24"/>
  </mergeCells>
  <printOptions/>
  <pageMargins left="0.75" right="0.5" top="1" bottom="1" header="0.5" footer="0.5"/>
  <pageSetup blackAndWhite="1" horizontalDpi="1200" verticalDpi="1200" orientation="portrait" paperSize="9" scale="90" r:id="rId1"/>
  <headerFooter alignWithMargins="0">
    <oddHeader>&amp;LFORMULAR F4-DOTARI&amp;R&amp;10        SC PRO-EM SRL
Covasna, str Unirii, nr. 2, jud. Covasna
 - J14/45/2007; CUI:20882687 -</oddHeader>
  </headerFooter>
</worksheet>
</file>

<file path=xl/worksheets/sheet13.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236</v>
      </c>
      <c r="B5" s="443"/>
      <c r="C5" s="443"/>
      <c r="D5" s="443"/>
    </row>
    <row r="6" spans="1:4" s="4" customFormat="1" ht="12.75">
      <c r="A6" s="164" t="s">
        <v>194</v>
      </c>
      <c r="B6" s="164"/>
      <c r="C6" s="448" t="s">
        <v>217</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76.5">
      <c r="A10" s="167">
        <v>1</v>
      </c>
      <c r="B10" s="168" t="s">
        <v>198</v>
      </c>
      <c r="C10" s="212" t="s">
        <v>264</v>
      </c>
      <c r="D10" s="169"/>
      <c r="E10" s="84"/>
      <c r="F10" s="76"/>
      <c r="G10" s="76"/>
    </row>
    <row r="11" spans="1:7" ht="12.75">
      <c r="A11" s="167"/>
      <c r="B11" s="168"/>
      <c r="D11" s="169"/>
      <c r="E11" s="84"/>
      <c r="F11" s="76"/>
      <c r="G11" s="76"/>
    </row>
    <row r="12" spans="1:7" ht="76.5">
      <c r="A12" s="167">
        <v>2</v>
      </c>
      <c r="B12" s="170" t="s">
        <v>199</v>
      </c>
      <c r="C12" s="227" t="s">
        <v>265</v>
      </c>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263</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4.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266</v>
      </c>
      <c r="B5" s="443"/>
      <c r="C5" s="443"/>
      <c r="D5" s="443"/>
    </row>
    <row r="6" spans="1:4" s="4" customFormat="1" ht="12.75">
      <c r="A6" s="164" t="s">
        <v>194</v>
      </c>
      <c r="B6" s="164"/>
      <c r="C6" s="448" t="str">
        <f>'F4-D'!B11</f>
        <v>Monitor LCD 19``</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38.25">
      <c r="A10" s="167">
        <v>1</v>
      </c>
      <c r="B10" s="168" t="s">
        <v>198</v>
      </c>
      <c r="C10" s="230" t="s">
        <v>283</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267</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5.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268</v>
      </c>
      <c r="B5" s="443"/>
      <c r="C5" s="443"/>
      <c r="D5" s="443"/>
    </row>
    <row r="6" spans="1:4" s="4" customFormat="1" ht="12.75">
      <c r="A6" s="164" t="s">
        <v>194</v>
      </c>
      <c r="B6" s="164"/>
      <c r="C6" s="448" t="str">
        <f>'F4-D'!B12</f>
        <v>Imprimantă, scanner, copiator A3 - color</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204">
      <c r="A10" s="167">
        <v>1</v>
      </c>
      <c r="B10" s="168" t="s">
        <v>198</v>
      </c>
      <c r="C10" s="228" t="s">
        <v>282</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267</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6.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269</v>
      </c>
      <c r="B5" s="443"/>
      <c r="C5" s="443"/>
      <c r="D5" s="443"/>
    </row>
    <row r="6" spans="1:4" s="4" customFormat="1" ht="12.75">
      <c r="A6" s="164" t="s">
        <v>194</v>
      </c>
      <c r="B6" s="164"/>
      <c r="C6" s="448" t="str">
        <f>'F4-D'!B13</f>
        <v>Imprimantă, scanner, copiator A4 - color</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165.75">
      <c r="A10" s="167">
        <v>1</v>
      </c>
      <c r="B10" s="168" t="s">
        <v>198</v>
      </c>
      <c r="C10" s="230" t="s">
        <v>270</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267</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7.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271</v>
      </c>
      <c r="B5" s="443"/>
      <c r="C5" s="443"/>
      <c r="D5" s="443"/>
    </row>
    <row r="6" spans="1:4" s="4" customFormat="1" ht="12.75">
      <c r="A6" s="164" t="s">
        <v>194</v>
      </c>
      <c r="B6" s="164"/>
      <c r="C6" s="448" t="str">
        <f>'F4-D'!B14</f>
        <v>Adaptor wireless USB</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25.5">
      <c r="A10" s="167">
        <v>1</v>
      </c>
      <c r="B10" s="168" t="s">
        <v>198</v>
      </c>
      <c r="C10" s="229" t="s">
        <v>281</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278</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8.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272</v>
      </c>
      <c r="B5" s="443"/>
      <c r="C5" s="443"/>
      <c r="D5" s="443"/>
    </row>
    <row r="6" spans="1:4" s="4" customFormat="1" ht="12.75">
      <c r="A6" s="164" t="s">
        <v>194</v>
      </c>
      <c r="B6" s="164"/>
      <c r="C6" s="448" t="str">
        <f>'F4-D'!B15</f>
        <v>Router Wireless</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51">
      <c r="A10" s="167">
        <v>1</v>
      </c>
      <c r="B10" s="168" t="s">
        <v>198</v>
      </c>
      <c r="C10" s="229" t="s">
        <v>280</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278</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19.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273</v>
      </c>
      <c r="B5" s="443"/>
      <c r="C5" s="443"/>
      <c r="D5" s="443"/>
    </row>
    <row r="6" spans="1:4" s="4" customFormat="1" ht="12.75">
      <c r="A6" s="164" t="s">
        <v>194</v>
      </c>
      <c r="B6" s="164"/>
      <c r="C6" s="448" t="str">
        <f>'F4-D'!B16</f>
        <v>UPS</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25.5">
      <c r="A10" s="167">
        <v>1</v>
      </c>
      <c r="B10" s="168" t="s">
        <v>198</v>
      </c>
      <c r="C10" s="230" t="s">
        <v>277</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278</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2.xml><?xml version="1.0" encoding="utf-8"?>
<worksheet xmlns="http://schemas.openxmlformats.org/spreadsheetml/2006/main" xmlns:r="http://schemas.openxmlformats.org/officeDocument/2006/relationships">
  <dimension ref="A1:H61"/>
  <sheetViews>
    <sheetView view="pageBreakPreview" zoomScaleSheetLayoutView="100" zoomScalePageLayoutView="0" workbookViewId="0" topLeftCell="A32">
      <selection activeCell="D33" sqref="D33"/>
    </sheetView>
  </sheetViews>
  <sheetFormatPr defaultColWidth="8.796875" defaultRowHeight="15"/>
  <cols>
    <col min="1" max="1" width="5.09765625" style="140" customWidth="1"/>
    <col min="2" max="2" width="5.59765625" style="140" customWidth="1"/>
    <col min="3" max="3" width="32.59765625" style="140" customWidth="1"/>
    <col min="4" max="4" width="10.59765625" style="140" customWidth="1"/>
    <col min="5" max="5" width="7.8984375" style="140" customWidth="1"/>
    <col min="6" max="6" width="9.59765625" style="140" customWidth="1"/>
    <col min="7" max="7" width="10.69921875" style="140" customWidth="1"/>
    <col min="8" max="8" width="8.09765625" style="140" customWidth="1"/>
    <col min="9" max="16384" width="9" style="140" customWidth="1"/>
  </cols>
  <sheetData>
    <row r="1" spans="1:8" ht="12">
      <c r="A1" s="138"/>
      <c r="B1" s="138"/>
      <c r="C1" s="138"/>
      <c r="D1" s="138"/>
      <c r="E1" s="138"/>
      <c r="F1" s="138" t="s">
        <v>0</v>
      </c>
      <c r="G1" s="139" t="s">
        <v>231</v>
      </c>
      <c r="H1" s="139">
        <v>2009</v>
      </c>
    </row>
    <row r="2" spans="1:8" ht="12">
      <c r="A2" s="365" t="s">
        <v>1</v>
      </c>
      <c r="B2" s="365"/>
      <c r="C2" s="365"/>
      <c r="D2" s="365"/>
      <c r="E2" s="365"/>
      <c r="F2" s="365"/>
      <c r="G2" s="365"/>
      <c r="H2" s="365"/>
    </row>
    <row r="3" spans="1:3" ht="12">
      <c r="A3" s="366" t="s">
        <v>204</v>
      </c>
      <c r="B3" s="366"/>
      <c r="C3" s="366"/>
    </row>
    <row r="4" spans="1:8" ht="12">
      <c r="A4" s="142"/>
      <c r="B4" s="376" t="s">
        <v>232</v>
      </c>
      <c r="C4" s="376"/>
      <c r="D4" s="376"/>
      <c r="E4" s="376"/>
      <c r="F4" s="376"/>
      <c r="G4" s="376"/>
      <c r="H4" s="376"/>
    </row>
    <row r="5" spans="1:8" ht="12">
      <c r="A5" s="141"/>
      <c r="C5" s="143" t="s">
        <v>122</v>
      </c>
      <c r="D5" s="377" t="s">
        <v>333</v>
      </c>
      <c r="E5" s="377"/>
      <c r="F5" s="377"/>
      <c r="G5" s="377"/>
      <c r="H5" s="377"/>
    </row>
    <row r="6" spans="1:8" ht="12">
      <c r="A6" s="366" t="s">
        <v>330</v>
      </c>
      <c r="B6" s="366"/>
      <c r="C6" s="366"/>
      <c r="D6" s="225">
        <v>4.2788</v>
      </c>
      <c r="E6" s="142" t="s">
        <v>2</v>
      </c>
      <c r="F6" s="142"/>
      <c r="G6" s="378" t="s">
        <v>329</v>
      </c>
      <c r="H6" s="378"/>
    </row>
    <row r="7" spans="1:8" ht="12">
      <c r="A7" s="141"/>
      <c r="B7" s="141"/>
      <c r="C7" s="141"/>
      <c r="D7" s="141"/>
      <c r="E7" s="141"/>
      <c r="F7" s="141"/>
      <c r="G7" s="141"/>
      <c r="H7" s="141"/>
    </row>
    <row r="8" spans="1:8" ht="24">
      <c r="A8" s="144" t="s">
        <v>3</v>
      </c>
      <c r="B8" s="374" t="s">
        <v>4</v>
      </c>
      <c r="C8" s="375"/>
      <c r="D8" s="373" t="s">
        <v>112</v>
      </c>
      <c r="E8" s="373"/>
      <c r="F8" s="145" t="s">
        <v>113</v>
      </c>
      <c r="G8" s="373" t="s">
        <v>114</v>
      </c>
      <c r="H8" s="373"/>
    </row>
    <row r="9" spans="1:8" ht="12">
      <c r="A9" s="146"/>
      <c r="B9" s="147"/>
      <c r="C9" s="148"/>
      <c r="D9" s="149" t="s">
        <v>115</v>
      </c>
      <c r="E9" s="149" t="s">
        <v>5</v>
      </c>
      <c r="F9" s="149" t="s">
        <v>115</v>
      </c>
      <c r="G9" s="149" t="s">
        <v>115</v>
      </c>
      <c r="H9" s="149" t="s">
        <v>5</v>
      </c>
    </row>
    <row r="10" spans="1:8" ht="12">
      <c r="A10" s="150">
        <v>1</v>
      </c>
      <c r="B10" s="398">
        <v>2</v>
      </c>
      <c r="C10" s="398"/>
      <c r="D10" s="150">
        <v>3</v>
      </c>
      <c r="E10" s="150">
        <v>4</v>
      </c>
      <c r="F10" s="150">
        <v>5</v>
      </c>
      <c r="G10" s="150">
        <v>6</v>
      </c>
      <c r="H10" s="150">
        <v>7</v>
      </c>
    </row>
    <row r="11" spans="1:8" s="151" customFormat="1" ht="12" customHeight="1">
      <c r="A11" s="395" t="s">
        <v>6</v>
      </c>
      <c r="B11" s="396"/>
      <c r="C11" s="396"/>
      <c r="D11" s="396"/>
      <c r="E11" s="396"/>
      <c r="F11" s="396"/>
      <c r="G11" s="396"/>
      <c r="H11" s="397"/>
    </row>
    <row r="12" spans="1:8" s="151" customFormat="1" ht="12" customHeight="1">
      <c r="A12" s="399" t="s">
        <v>7</v>
      </c>
      <c r="B12" s="400"/>
      <c r="C12" s="400"/>
      <c r="D12" s="400"/>
      <c r="E12" s="400"/>
      <c r="F12" s="400"/>
      <c r="G12" s="400"/>
      <c r="H12" s="401"/>
    </row>
    <row r="13" spans="1:8" s="151" customFormat="1" ht="11.25">
      <c r="A13" s="269">
        <v>1.1</v>
      </c>
      <c r="B13" s="390" t="s">
        <v>8</v>
      </c>
      <c r="C13" s="392"/>
      <c r="D13" s="270">
        <v>0</v>
      </c>
      <c r="E13" s="270">
        <f>D13/$D$6*1000</f>
        <v>0</v>
      </c>
      <c r="F13" s="270">
        <f>D13*24%</f>
        <v>0</v>
      </c>
      <c r="G13" s="270">
        <f>D13+F13</f>
        <v>0</v>
      </c>
      <c r="H13" s="270">
        <f>G13/$D$6*1000</f>
        <v>0</v>
      </c>
    </row>
    <row r="14" spans="1:8" s="151" customFormat="1" ht="11.25">
      <c r="A14" s="269">
        <v>1.2</v>
      </c>
      <c r="B14" s="390" t="s">
        <v>9</v>
      </c>
      <c r="C14" s="392"/>
      <c r="D14" s="270">
        <v>0</v>
      </c>
      <c r="E14" s="270">
        <f>D14/$D$6*1000</f>
        <v>0</v>
      </c>
      <c r="F14" s="270">
        <f>D14*24%</f>
        <v>0</v>
      </c>
      <c r="G14" s="270">
        <f>D14+F14</f>
        <v>0</v>
      </c>
      <c r="H14" s="270">
        <f>G14/$D$6*1000</f>
        <v>0</v>
      </c>
    </row>
    <row r="15" spans="1:8" s="151" customFormat="1" ht="11.25">
      <c r="A15" s="269">
        <v>1.3</v>
      </c>
      <c r="B15" s="390" t="s">
        <v>10</v>
      </c>
      <c r="C15" s="392"/>
      <c r="D15" s="270">
        <v>0</v>
      </c>
      <c r="E15" s="270">
        <f>D15/$D$6*1000</f>
        <v>0</v>
      </c>
      <c r="F15" s="270">
        <f>D15*24%</f>
        <v>0</v>
      </c>
      <c r="G15" s="270">
        <f>D15+F15</f>
        <v>0</v>
      </c>
      <c r="H15" s="270">
        <f>G15/$D$6*1000</f>
        <v>0</v>
      </c>
    </row>
    <row r="16" spans="1:8" s="151" customFormat="1" ht="11.25">
      <c r="A16" s="384" t="s">
        <v>11</v>
      </c>
      <c r="B16" s="385"/>
      <c r="C16" s="386"/>
      <c r="D16" s="270">
        <f>SUM(D13:D15)</f>
        <v>0</v>
      </c>
      <c r="E16" s="270">
        <f>SUM(E13:E15)</f>
        <v>0</v>
      </c>
      <c r="F16" s="270">
        <f>SUM(F13:F15)</f>
        <v>0</v>
      </c>
      <c r="G16" s="270">
        <f>SUM(G13:G15)</f>
        <v>0</v>
      </c>
      <c r="H16" s="270">
        <f>SUM(H13:H15)</f>
        <v>0</v>
      </c>
    </row>
    <row r="17" spans="1:8" s="151" customFormat="1" ht="11.25">
      <c r="A17" s="390" t="s">
        <v>12</v>
      </c>
      <c r="B17" s="393"/>
      <c r="C17" s="393"/>
      <c r="D17" s="393"/>
      <c r="E17" s="393"/>
      <c r="F17" s="393"/>
      <c r="G17" s="393"/>
      <c r="H17" s="391"/>
    </row>
    <row r="18" spans="1:8" s="151" customFormat="1" ht="11.25">
      <c r="A18" s="370" t="s">
        <v>13</v>
      </c>
      <c r="B18" s="371"/>
      <c r="C18" s="371"/>
      <c r="D18" s="371"/>
      <c r="E18" s="371"/>
      <c r="F18" s="371"/>
      <c r="G18" s="371"/>
      <c r="H18" s="372"/>
    </row>
    <row r="19" spans="1:8" s="151" customFormat="1" ht="11.25">
      <c r="A19" s="269">
        <v>2.1</v>
      </c>
      <c r="B19" s="390" t="s">
        <v>14</v>
      </c>
      <c r="C19" s="391"/>
      <c r="D19" s="279">
        <f>'F1'!D17</f>
        <v>11.46146</v>
      </c>
      <c r="E19" s="271">
        <f>D19/$D$6*1000</f>
        <v>2678.662241750023</v>
      </c>
      <c r="F19" s="279">
        <f>D19*24%</f>
        <v>2.7507504000000003</v>
      </c>
      <c r="G19" s="279">
        <f>D19+F19</f>
        <v>14.2122104</v>
      </c>
      <c r="H19" s="271">
        <f>G19/$D$6*1000</f>
        <v>3321.5411797700285</v>
      </c>
    </row>
    <row r="20" spans="1:8" s="151" customFormat="1" ht="11.25">
      <c r="A20" s="384" t="s">
        <v>15</v>
      </c>
      <c r="B20" s="385"/>
      <c r="C20" s="386"/>
      <c r="D20" s="279">
        <f>SUM(D19)</f>
        <v>11.46146</v>
      </c>
      <c r="E20" s="271">
        <f>SUM(E19)</f>
        <v>2678.662241750023</v>
      </c>
      <c r="F20" s="279">
        <f>SUM(F19)</f>
        <v>2.7507504000000003</v>
      </c>
      <c r="G20" s="279">
        <f>SUM(G19)</f>
        <v>14.2122104</v>
      </c>
      <c r="H20" s="271">
        <f>SUM(H19)</f>
        <v>3321.5411797700285</v>
      </c>
    </row>
    <row r="21" spans="1:8" s="151" customFormat="1" ht="11.25">
      <c r="A21" s="369" t="s">
        <v>16</v>
      </c>
      <c r="B21" s="369"/>
      <c r="C21" s="369"/>
      <c r="D21" s="369"/>
      <c r="E21" s="369"/>
      <c r="F21" s="369"/>
      <c r="G21" s="369"/>
      <c r="H21" s="369"/>
    </row>
    <row r="22" spans="1:8" s="151" customFormat="1" ht="11.25">
      <c r="A22" s="379" t="s">
        <v>17</v>
      </c>
      <c r="B22" s="379"/>
      <c r="C22" s="379"/>
      <c r="D22" s="379"/>
      <c r="E22" s="379"/>
      <c r="F22" s="379"/>
      <c r="G22" s="379"/>
      <c r="H22" s="379"/>
    </row>
    <row r="23" spans="1:8" s="151" customFormat="1" ht="11.25">
      <c r="A23" s="152">
        <v>3.1</v>
      </c>
      <c r="B23" s="390" t="s">
        <v>18</v>
      </c>
      <c r="C23" s="393"/>
      <c r="D23" s="279">
        <f>'deviz financiar'!C24</f>
        <v>0</v>
      </c>
      <c r="E23" s="271">
        <f aca="true" t="shared" si="0" ref="E23:E28">D23/$D$6*1000</f>
        <v>0</v>
      </c>
      <c r="F23" s="287">
        <f>D23*24%</f>
        <v>0</v>
      </c>
      <c r="G23" s="287">
        <f aca="true" t="shared" si="1" ref="G23:G28">D23+F23</f>
        <v>0</v>
      </c>
      <c r="H23" s="154">
        <f aca="true" t="shared" si="2" ref="H23:H28">G23/$D$6*1000</f>
        <v>0</v>
      </c>
    </row>
    <row r="24" spans="1:8" s="151" customFormat="1" ht="11.25" customHeight="1">
      <c r="A24" s="155">
        <v>3.2</v>
      </c>
      <c r="B24" s="382" t="s">
        <v>19</v>
      </c>
      <c r="C24" s="383"/>
      <c r="D24" s="280">
        <f>'deviz financiar'!C10-'deviz financiar'!C19</f>
        <v>1.9000000000000004</v>
      </c>
      <c r="E24" s="271">
        <f t="shared" si="0"/>
        <v>444.0497335701599</v>
      </c>
      <c r="F24" s="287">
        <v>0</v>
      </c>
      <c r="G24" s="287">
        <f t="shared" si="1"/>
        <v>1.9000000000000004</v>
      </c>
      <c r="H24" s="154">
        <f t="shared" si="2"/>
        <v>444.0497335701599</v>
      </c>
    </row>
    <row r="25" spans="1:8" s="151" customFormat="1" ht="11.25">
      <c r="A25" s="152">
        <v>3.3</v>
      </c>
      <c r="B25" s="390" t="s">
        <v>20</v>
      </c>
      <c r="C25" s="391"/>
      <c r="D25" s="280">
        <f>'deviz financiar'!C22</f>
        <v>75.86686999999999</v>
      </c>
      <c r="E25" s="271">
        <f t="shared" si="0"/>
        <v>17730.87547910629</v>
      </c>
      <c r="F25" s="287">
        <f>D25*24%</f>
        <v>18.208048799999997</v>
      </c>
      <c r="G25" s="287">
        <f t="shared" si="1"/>
        <v>94.07491879999999</v>
      </c>
      <c r="H25" s="154">
        <f t="shared" si="2"/>
        <v>21986.285594091798</v>
      </c>
    </row>
    <row r="26" spans="1:8" s="151" customFormat="1" ht="11.25">
      <c r="A26" s="152">
        <v>3.4</v>
      </c>
      <c r="B26" s="390" t="s">
        <v>21</v>
      </c>
      <c r="C26" s="391"/>
      <c r="D26" s="280">
        <v>0</v>
      </c>
      <c r="E26" s="271">
        <f t="shared" si="0"/>
        <v>0</v>
      </c>
      <c r="F26" s="287">
        <f>D26*24%</f>
        <v>0</v>
      </c>
      <c r="G26" s="279">
        <f t="shared" si="1"/>
        <v>0</v>
      </c>
      <c r="H26" s="154">
        <f t="shared" si="2"/>
        <v>0</v>
      </c>
    </row>
    <row r="27" spans="1:8" s="151" customFormat="1" ht="11.25">
      <c r="A27" s="152">
        <v>3.5</v>
      </c>
      <c r="B27" s="390" t="s">
        <v>22</v>
      </c>
      <c r="C27" s="391"/>
      <c r="D27" s="280">
        <f>'deviz financiar'!C33</f>
        <v>42.391</v>
      </c>
      <c r="E27" s="271">
        <f t="shared" si="0"/>
        <v>9907.216976722444</v>
      </c>
      <c r="F27" s="287">
        <f>D27*24%</f>
        <v>10.173839999999998</v>
      </c>
      <c r="G27" s="279">
        <f t="shared" si="1"/>
        <v>52.56484</v>
      </c>
      <c r="H27" s="154">
        <f t="shared" si="2"/>
        <v>12284.94905113583</v>
      </c>
    </row>
    <row r="28" spans="1:8" s="151" customFormat="1" ht="11.25">
      <c r="A28" s="152">
        <v>3.6</v>
      </c>
      <c r="B28" s="380" t="s">
        <v>23</v>
      </c>
      <c r="C28" s="394"/>
      <c r="D28" s="280">
        <f>'deviz financiar'!C36</f>
        <v>54.353100000000005</v>
      </c>
      <c r="E28" s="271">
        <f t="shared" si="0"/>
        <v>12702.883986164345</v>
      </c>
      <c r="F28" s="287">
        <f>D28*24%</f>
        <v>13.044744000000001</v>
      </c>
      <c r="G28" s="279">
        <f t="shared" si="1"/>
        <v>67.397844</v>
      </c>
      <c r="H28" s="154">
        <f t="shared" si="2"/>
        <v>15751.576142843789</v>
      </c>
    </row>
    <row r="29" spans="1:8" s="151" customFormat="1" ht="11.25">
      <c r="A29" s="387" t="s">
        <v>24</v>
      </c>
      <c r="B29" s="388"/>
      <c r="C29" s="389"/>
      <c r="D29" s="280">
        <f>SUM(D23:D28)</f>
        <v>174.51097000000001</v>
      </c>
      <c r="E29" s="274">
        <f>SUM(E23:E28)</f>
        <v>40785.02617556324</v>
      </c>
      <c r="F29" s="280">
        <f>SUM(F23:F28)</f>
        <v>41.42663279999999</v>
      </c>
      <c r="G29" s="280">
        <f>SUM(G23:G28)</f>
        <v>215.93760279999998</v>
      </c>
      <c r="H29" s="156">
        <f>SUM(H23:H28)</f>
        <v>50466.86052164158</v>
      </c>
    </row>
    <row r="30" spans="1:8" s="151" customFormat="1" ht="11.25">
      <c r="A30" s="369" t="s">
        <v>25</v>
      </c>
      <c r="B30" s="369"/>
      <c r="C30" s="369"/>
      <c r="D30" s="369"/>
      <c r="E30" s="369"/>
      <c r="F30" s="369"/>
      <c r="G30" s="369"/>
      <c r="H30" s="369"/>
    </row>
    <row r="31" spans="1:8" s="151" customFormat="1" ht="11.25">
      <c r="A31" s="379" t="s">
        <v>26</v>
      </c>
      <c r="B31" s="379"/>
      <c r="C31" s="379"/>
      <c r="D31" s="379"/>
      <c r="E31" s="379"/>
      <c r="F31" s="379"/>
      <c r="G31" s="379"/>
      <c r="H31" s="379"/>
    </row>
    <row r="32" spans="1:8" s="151" customFormat="1" ht="11.25">
      <c r="A32" s="152">
        <v>4.1</v>
      </c>
      <c r="B32" s="369" t="s">
        <v>27</v>
      </c>
      <c r="C32" s="369"/>
      <c r="D32" s="281"/>
      <c r="E32" s="157"/>
      <c r="F32" s="281"/>
      <c r="G32" s="157"/>
      <c r="H32" s="158"/>
    </row>
    <row r="33" spans="1:8" s="151" customFormat="1" ht="11.25">
      <c r="A33" s="152"/>
      <c r="B33" s="275" t="s">
        <v>28</v>
      </c>
      <c r="C33" s="276" t="s">
        <v>205</v>
      </c>
      <c r="D33" s="282">
        <f>'F1'!D23</f>
        <v>1182.44892</v>
      </c>
      <c r="E33" s="154">
        <f aca="true" t="shared" si="3" ref="E33:E38">D33/$D$6*1000</f>
        <v>276350.59362438065</v>
      </c>
      <c r="F33" s="284">
        <f aca="true" t="shared" si="4" ref="F33:F38">D33*24%</f>
        <v>283.7877408</v>
      </c>
      <c r="G33" s="153">
        <f aca="true" t="shared" si="5" ref="G33:G38">D33+F33</f>
        <v>1466.2366608</v>
      </c>
      <c r="H33" s="154">
        <f aca="true" t="shared" si="6" ref="H33:H38">G33/$D$6*1000</f>
        <v>342674.736094232</v>
      </c>
    </row>
    <row r="34" spans="1:8" s="151" customFormat="1" ht="11.25">
      <c r="A34" s="152">
        <v>4.2</v>
      </c>
      <c r="B34" s="364" t="s">
        <v>29</v>
      </c>
      <c r="C34" s="364"/>
      <c r="D34" s="283">
        <f>'F2'!D25</f>
        <v>0</v>
      </c>
      <c r="E34" s="154">
        <f t="shared" si="3"/>
        <v>0</v>
      </c>
      <c r="F34" s="284">
        <f t="shared" si="4"/>
        <v>0</v>
      </c>
      <c r="G34" s="153">
        <f t="shared" si="5"/>
        <v>0</v>
      </c>
      <c r="H34" s="154">
        <f t="shared" si="6"/>
        <v>0</v>
      </c>
    </row>
    <row r="35" spans="1:8" s="151" customFormat="1" ht="11.25" customHeight="1">
      <c r="A35" s="155">
        <v>4.3</v>
      </c>
      <c r="B35" s="382" t="s">
        <v>30</v>
      </c>
      <c r="C35" s="383"/>
      <c r="D35" s="283">
        <f>'F2'!D27</f>
        <v>15.4863</v>
      </c>
      <c r="E35" s="154">
        <f t="shared" si="3"/>
        <v>3619.3091520987186</v>
      </c>
      <c r="F35" s="284">
        <f t="shared" si="4"/>
        <v>3.716712</v>
      </c>
      <c r="G35" s="153">
        <f t="shared" si="5"/>
        <v>19.203012</v>
      </c>
      <c r="H35" s="154">
        <f t="shared" si="6"/>
        <v>4487.943348602412</v>
      </c>
    </row>
    <row r="36" spans="1:8" s="151" customFormat="1" ht="11.25">
      <c r="A36" s="152">
        <v>4.4</v>
      </c>
      <c r="B36" s="364" t="s">
        <v>31</v>
      </c>
      <c r="C36" s="364"/>
      <c r="D36" s="282">
        <f>'F2'!D28</f>
        <v>0</v>
      </c>
      <c r="E36" s="154">
        <f t="shared" si="3"/>
        <v>0</v>
      </c>
      <c r="F36" s="284">
        <f t="shared" si="4"/>
        <v>0</v>
      </c>
      <c r="G36" s="153">
        <f t="shared" si="5"/>
        <v>0</v>
      </c>
      <c r="H36" s="154">
        <f t="shared" si="6"/>
        <v>0</v>
      </c>
    </row>
    <row r="37" spans="1:8" s="151" customFormat="1" ht="11.25">
      <c r="A37" s="152">
        <v>4.5</v>
      </c>
      <c r="B37" s="364" t="s">
        <v>32</v>
      </c>
      <c r="C37" s="364"/>
      <c r="D37" s="283">
        <f>'F2'!D29</f>
        <v>42.0642</v>
      </c>
      <c r="E37" s="154">
        <f t="shared" si="3"/>
        <v>9830.840422548377</v>
      </c>
      <c r="F37" s="284">
        <f t="shared" si="4"/>
        <v>10.095407999999999</v>
      </c>
      <c r="G37" s="153">
        <f t="shared" si="5"/>
        <v>52.159608</v>
      </c>
      <c r="H37" s="154">
        <f t="shared" si="6"/>
        <v>12190.242123959986</v>
      </c>
    </row>
    <row r="38" spans="1:8" s="151" customFormat="1" ht="11.25">
      <c r="A38" s="152">
        <v>4.6</v>
      </c>
      <c r="B38" s="364" t="s">
        <v>116</v>
      </c>
      <c r="C38" s="364"/>
      <c r="D38" s="283">
        <v>0</v>
      </c>
      <c r="E38" s="154">
        <f t="shared" si="3"/>
        <v>0</v>
      </c>
      <c r="F38" s="284">
        <f t="shared" si="4"/>
        <v>0</v>
      </c>
      <c r="G38" s="153">
        <f t="shared" si="5"/>
        <v>0</v>
      </c>
      <c r="H38" s="154">
        <f t="shared" si="6"/>
        <v>0</v>
      </c>
    </row>
    <row r="39" spans="1:8" s="151" customFormat="1" ht="11.25">
      <c r="A39" s="387" t="s">
        <v>33</v>
      </c>
      <c r="B39" s="388"/>
      <c r="C39" s="389"/>
      <c r="D39" s="284">
        <f>SUM(D33:D37)</f>
        <v>1239.99942</v>
      </c>
      <c r="E39" s="154">
        <f>SUM(E33:E37)</f>
        <v>289800.7431990277</v>
      </c>
      <c r="F39" s="284">
        <f>SUM(F33:F37)</f>
        <v>297.5998608</v>
      </c>
      <c r="G39" s="153">
        <f>SUM(G33:G37)</f>
        <v>1537.5992807999999</v>
      </c>
      <c r="H39" s="154">
        <f>SUM(H33:H37)</f>
        <v>359352.9215667944</v>
      </c>
    </row>
    <row r="40" spans="1:8" s="151" customFormat="1" ht="11.25">
      <c r="A40" s="369" t="s">
        <v>34</v>
      </c>
      <c r="B40" s="369"/>
      <c r="C40" s="369"/>
      <c r="D40" s="369"/>
      <c r="E40" s="369"/>
      <c r="F40" s="369"/>
      <c r="G40" s="369"/>
      <c r="H40" s="369"/>
    </row>
    <row r="41" spans="1:8" s="151" customFormat="1" ht="11.25">
      <c r="A41" s="379" t="s">
        <v>35</v>
      </c>
      <c r="B41" s="379"/>
      <c r="C41" s="379"/>
      <c r="D41" s="379"/>
      <c r="E41" s="379"/>
      <c r="F41" s="379"/>
      <c r="G41" s="379"/>
      <c r="H41" s="379"/>
    </row>
    <row r="42" spans="1:8" s="151" customFormat="1" ht="11.25">
      <c r="A42" s="152">
        <v>5.1</v>
      </c>
      <c r="B42" s="369" t="s">
        <v>36</v>
      </c>
      <c r="C42" s="369"/>
      <c r="D42" s="285"/>
      <c r="E42" s="158"/>
      <c r="F42" s="285"/>
      <c r="G42" s="158"/>
      <c r="H42" s="158"/>
    </row>
    <row r="43" spans="1:8" s="151" customFormat="1" ht="11.25">
      <c r="A43" s="152"/>
      <c r="B43" s="269" t="s">
        <v>37</v>
      </c>
      <c r="C43" s="277" t="s">
        <v>38</v>
      </c>
      <c r="D43" s="282">
        <f>(D33+D34)*Cote!B19</f>
        <v>29.561223000000002</v>
      </c>
      <c r="E43" s="271">
        <f>D43/$D$6*1000</f>
        <v>6908.764840609517</v>
      </c>
      <c r="F43" s="284">
        <f>D43*24%</f>
        <v>7.09469352</v>
      </c>
      <c r="G43" s="287">
        <f>D43+F43</f>
        <v>36.655916520000005</v>
      </c>
      <c r="H43" s="154">
        <f>G43/$D$6*1000</f>
        <v>8566.868402355802</v>
      </c>
    </row>
    <row r="44" spans="1:8" s="151" customFormat="1" ht="11.25">
      <c r="A44" s="152"/>
      <c r="B44" s="269" t="s">
        <v>39</v>
      </c>
      <c r="C44" s="278" t="s">
        <v>40</v>
      </c>
      <c r="D44" s="282">
        <v>0</v>
      </c>
      <c r="E44" s="271">
        <f>D44/$D$6*1000</f>
        <v>0</v>
      </c>
      <c r="F44" s="284">
        <f>D44*24%</f>
        <v>0</v>
      </c>
      <c r="G44" s="287">
        <f>D44+F44</f>
        <v>0</v>
      </c>
      <c r="H44" s="154">
        <f>G44/$D$6*1000</f>
        <v>0</v>
      </c>
    </row>
    <row r="45" spans="1:8" s="151" customFormat="1" ht="11.25">
      <c r="A45" s="152">
        <v>5.2</v>
      </c>
      <c r="B45" s="364" t="s">
        <v>41</v>
      </c>
      <c r="C45" s="364"/>
      <c r="D45" s="282"/>
      <c r="E45" s="271"/>
      <c r="F45" s="284"/>
      <c r="G45" s="287"/>
      <c r="H45" s="156"/>
    </row>
    <row r="46" spans="1:8" s="151" customFormat="1" ht="11.25">
      <c r="A46" s="152"/>
      <c r="B46" s="269" t="s">
        <v>42</v>
      </c>
      <c r="C46" s="277" t="s">
        <v>43</v>
      </c>
      <c r="D46" s="282">
        <v>11.019</v>
      </c>
      <c r="E46" s="271">
        <f>D46/$D$6*1000</f>
        <v>2575.2547443208377</v>
      </c>
      <c r="F46" s="284">
        <v>0</v>
      </c>
      <c r="G46" s="287">
        <f>D46+F46</f>
        <v>11.019</v>
      </c>
      <c r="H46" s="154">
        <f>G46/$D$6*1000</f>
        <v>2575.2547443208377</v>
      </c>
    </row>
    <row r="47" spans="1:8" s="151" customFormat="1" ht="11.25">
      <c r="A47" s="152"/>
      <c r="B47" s="269" t="s">
        <v>44</v>
      </c>
      <c r="C47" s="278" t="s">
        <v>45</v>
      </c>
      <c r="D47" s="282">
        <v>0</v>
      </c>
      <c r="E47" s="271">
        <f>D47/$D$6*1000</f>
        <v>0</v>
      </c>
      <c r="F47" s="284">
        <f>D47*24%</f>
        <v>0</v>
      </c>
      <c r="G47" s="287">
        <f>D47+F47</f>
        <v>0</v>
      </c>
      <c r="H47" s="154">
        <f>G47/$D$6*1000</f>
        <v>0</v>
      </c>
    </row>
    <row r="48" spans="1:8" s="151" customFormat="1" ht="11.25">
      <c r="A48" s="152">
        <v>5.3</v>
      </c>
      <c r="B48" s="380" t="s">
        <v>328</v>
      </c>
      <c r="C48" s="381"/>
      <c r="D48" s="282">
        <v>42.3</v>
      </c>
      <c r="E48" s="154">
        <f>D48/$D$6*1000</f>
        <v>9885.949331588296</v>
      </c>
      <c r="F48" s="284">
        <f>D48*24%</f>
        <v>10.152</v>
      </c>
      <c r="G48" s="287">
        <f>D48+F48</f>
        <v>52.452</v>
      </c>
      <c r="H48" s="154">
        <f>G48/$D$6*1000</f>
        <v>12258.577171169485</v>
      </c>
    </row>
    <row r="49" spans="1:8" s="151" customFormat="1" ht="11.25">
      <c r="A49" s="367" t="s">
        <v>46</v>
      </c>
      <c r="B49" s="367"/>
      <c r="C49" s="367"/>
      <c r="D49" s="281">
        <f>SUM(D43:D48)</f>
        <v>82.880223</v>
      </c>
      <c r="E49" s="156">
        <f>SUM(E43:E48)</f>
        <v>19369.96891651865</v>
      </c>
      <c r="F49" s="281">
        <f>SUM(F43:F48)</f>
        <v>17.24669352</v>
      </c>
      <c r="G49" s="288">
        <f>SUM(G43:G48)</f>
        <v>100.12691652000001</v>
      </c>
      <c r="H49" s="156">
        <f>SUM(H43:H48)</f>
        <v>23400.700317846124</v>
      </c>
    </row>
    <row r="50" spans="1:8" s="151" customFormat="1" ht="11.25">
      <c r="A50" s="369" t="s">
        <v>47</v>
      </c>
      <c r="B50" s="369"/>
      <c r="C50" s="369"/>
      <c r="D50" s="369"/>
      <c r="E50" s="369"/>
      <c r="F50" s="369"/>
      <c r="G50" s="369"/>
      <c r="H50" s="369"/>
    </row>
    <row r="51" spans="1:8" s="151" customFormat="1" ht="11.25">
      <c r="A51" s="379" t="s">
        <v>48</v>
      </c>
      <c r="B51" s="379"/>
      <c r="C51" s="379"/>
      <c r="D51" s="379"/>
      <c r="E51" s="379"/>
      <c r="F51" s="379"/>
      <c r="G51" s="379"/>
      <c r="H51" s="379"/>
    </row>
    <row r="52" spans="1:8" s="151" customFormat="1" ht="11.25">
      <c r="A52" s="152">
        <v>6.1</v>
      </c>
      <c r="B52" s="369" t="s">
        <v>49</v>
      </c>
      <c r="C52" s="369"/>
      <c r="D52" s="159">
        <v>0</v>
      </c>
      <c r="E52" s="160">
        <f>D52/$D$6*1000</f>
        <v>0</v>
      </c>
      <c r="F52" s="160">
        <f>D52*24%</f>
        <v>0</v>
      </c>
      <c r="G52" s="154">
        <f>D52+F52</f>
        <v>0</v>
      </c>
      <c r="H52" s="160">
        <f>G52/$D$6*1000</f>
        <v>0</v>
      </c>
    </row>
    <row r="53" spans="1:8" s="151" customFormat="1" ht="11.25">
      <c r="A53" s="152">
        <v>6.2</v>
      </c>
      <c r="B53" s="369" t="s">
        <v>50</v>
      </c>
      <c r="C53" s="369"/>
      <c r="D53" s="159">
        <v>0</v>
      </c>
      <c r="E53" s="160">
        <f>D53/$D$6*1000</f>
        <v>0</v>
      </c>
      <c r="F53" s="160">
        <f>D53*24%</f>
        <v>0</v>
      </c>
      <c r="G53" s="154">
        <f>D53+F53</f>
        <v>0</v>
      </c>
      <c r="H53" s="160">
        <f>G53/$D$6*1000</f>
        <v>0</v>
      </c>
    </row>
    <row r="54" spans="1:8" s="151" customFormat="1" ht="11.25">
      <c r="A54" s="367" t="s">
        <v>51</v>
      </c>
      <c r="B54" s="367"/>
      <c r="C54" s="367"/>
      <c r="D54" s="159">
        <f>SUM(D52:D53)</f>
        <v>0</v>
      </c>
      <c r="E54" s="160">
        <f>SUM(E52:E53)</f>
        <v>0</v>
      </c>
      <c r="F54" s="160">
        <f>SUM(F52:F53)</f>
        <v>0</v>
      </c>
      <c r="G54" s="159">
        <f>SUM(G52:G53)</f>
        <v>0</v>
      </c>
      <c r="H54" s="160">
        <f>G54/$D$6</f>
        <v>0</v>
      </c>
    </row>
    <row r="55" spans="1:8" s="151" customFormat="1" ht="11.25">
      <c r="A55" s="367"/>
      <c r="B55" s="367"/>
      <c r="C55" s="367"/>
      <c r="D55" s="367"/>
      <c r="E55" s="367"/>
      <c r="F55" s="367"/>
      <c r="G55" s="367"/>
      <c r="H55" s="367"/>
    </row>
    <row r="56" spans="1:8" s="151" customFormat="1" ht="11.25">
      <c r="A56" s="368" t="s">
        <v>52</v>
      </c>
      <c r="B56" s="368"/>
      <c r="C56" s="368"/>
      <c r="D56" s="286">
        <f>(D16+D20+D29+D39+D49+D54)</f>
        <v>1508.852073</v>
      </c>
      <c r="E56" s="161">
        <f>(E16+E20+E29+E39+E49+E54)</f>
        <v>352634.40053285967</v>
      </c>
      <c r="F56" s="286">
        <f>(F16+F20+F29+F39+F49+F54)</f>
        <v>359.02393752</v>
      </c>
      <c r="G56" s="286">
        <f>(G16+G20+G29+G39+G49+G54)</f>
        <v>1867.87601052</v>
      </c>
      <c r="H56" s="161">
        <f>(H16+H20+H29+H39+H49+H54)</f>
        <v>436542.0235860521</v>
      </c>
    </row>
    <row r="57" spans="1:8" s="151" customFormat="1" ht="11.25">
      <c r="A57" s="368" t="s">
        <v>53</v>
      </c>
      <c r="B57" s="368"/>
      <c r="C57" s="368"/>
      <c r="D57" s="286">
        <f>D14+D15+D20+D33+D34+D43</f>
        <v>1223.471603</v>
      </c>
      <c r="E57" s="161">
        <f>E14+E15+E20+E33+E34+E43</f>
        <v>285938.0207067402</v>
      </c>
      <c r="F57" s="286">
        <f>F14+F15+F20+F33+F34+F43</f>
        <v>293.63318472000003</v>
      </c>
      <c r="G57" s="286">
        <f>G14+G15+G20+G33+G34+G43</f>
        <v>1517.1047877199999</v>
      </c>
      <c r="H57" s="161">
        <f>H14+H15+H20+H33+H34+H43</f>
        <v>354563.14567635785</v>
      </c>
    </row>
    <row r="59" spans="3:8" ht="12">
      <c r="C59" s="141" t="s">
        <v>117</v>
      </c>
      <c r="D59" s="142"/>
      <c r="E59" s="365" t="s">
        <v>118</v>
      </c>
      <c r="F59" s="365"/>
      <c r="G59" s="365"/>
      <c r="H59" s="365"/>
    </row>
    <row r="60" ht="12">
      <c r="C60" s="142" t="s">
        <v>119</v>
      </c>
    </row>
    <row r="61" spans="1:3" ht="12">
      <c r="A61" s="363" t="s">
        <v>207</v>
      </c>
      <c r="B61" s="363"/>
      <c r="C61" s="177"/>
    </row>
  </sheetData>
  <sheetProtection/>
  <mergeCells count="54">
    <mergeCell ref="B36:C36"/>
    <mergeCell ref="A11:H11"/>
    <mergeCell ref="B10:C10"/>
    <mergeCell ref="A12:H12"/>
    <mergeCell ref="B13:C13"/>
    <mergeCell ref="B14:C14"/>
    <mergeCell ref="B23:C23"/>
    <mergeCell ref="A31:H31"/>
    <mergeCell ref="B32:C32"/>
    <mergeCell ref="A22:H22"/>
    <mergeCell ref="A39:C39"/>
    <mergeCell ref="B15:C15"/>
    <mergeCell ref="A17:H17"/>
    <mergeCell ref="B28:C28"/>
    <mergeCell ref="A30:H30"/>
    <mergeCell ref="B19:C19"/>
    <mergeCell ref="A21:H21"/>
    <mergeCell ref="B34:C34"/>
    <mergeCell ref="A16:C16"/>
    <mergeCell ref="B35:C35"/>
    <mergeCell ref="A54:C54"/>
    <mergeCell ref="B48:C48"/>
    <mergeCell ref="B24:C24"/>
    <mergeCell ref="A20:C20"/>
    <mergeCell ref="A29:C29"/>
    <mergeCell ref="B25:C25"/>
    <mergeCell ref="B26:C26"/>
    <mergeCell ref="B27:C27"/>
    <mergeCell ref="B37:C37"/>
    <mergeCell ref="B42:C42"/>
    <mergeCell ref="B45:C45"/>
    <mergeCell ref="A51:H51"/>
    <mergeCell ref="A49:C49"/>
    <mergeCell ref="A40:H40"/>
    <mergeCell ref="A41:H41"/>
    <mergeCell ref="A50:H50"/>
    <mergeCell ref="A2:H2"/>
    <mergeCell ref="A3:C3"/>
    <mergeCell ref="G8:H8"/>
    <mergeCell ref="B8:C8"/>
    <mergeCell ref="B4:H4"/>
    <mergeCell ref="D5:H5"/>
    <mergeCell ref="G6:H6"/>
    <mergeCell ref="D8:E8"/>
    <mergeCell ref="A61:B61"/>
    <mergeCell ref="B38:C38"/>
    <mergeCell ref="E59:H59"/>
    <mergeCell ref="A6:C6"/>
    <mergeCell ref="A55:H55"/>
    <mergeCell ref="A56:C56"/>
    <mergeCell ref="A57:C57"/>
    <mergeCell ref="B52:C52"/>
    <mergeCell ref="B53:C53"/>
    <mergeCell ref="A18:H18"/>
  </mergeCells>
  <printOptions/>
  <pageMargins left="0.5" right="0.17" top="0.72" bottom="0.58" header="0.19" footer="0.5"/>
  <pageSetup blackAndWhite="1" horizontalDpi="300" verticalDpi="300" orientation="portrait" paperSize="9" r:id="rId3"/>
  <headerFooter alignWithMargins="0">
    <oddHeader>&amp;L&amp;10                 SC PRO-EM SRL
Covasna, str Unirii, nr. 2, jud. Covasna
 - J14/45/2007; CUI:20882687 -</oddHeader>
    <oddFooter>&amp;L&amp;8PRIOECT PRO-EM SRL</oddFooter>
  </headerFooter>
  <legacyDrawing r:id="rId2"/>
</worksheet>
</file>

<file path=xl/worksheets/sheet20.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274</v>
      </c>
      <c r="B5" s="443"/>
      <c r="C5" s="443"/>
      <c r="D5" s="443"/>
    </row>
    <row r="6" spans="1:4" s="4" customFormat="1" ht="12.75">
      <c r="A6" s="164" t="s">
        <v>194</v>
      </c>
      <c r="B6" s="164"/>
      <c r="C6" s="448" t="str">
        <f>'F4-D'!B17</f>
        <v>Videoproiector</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165.75">
      <c r="A10" s="167">
        <v>1</v>
      </c>
      <c r="B10" s="168" t="s">
        <v>198</v>
      </c>
      <c r="C10" s="231" t="s">
        <v>279</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267</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21.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275</v>
      </c>
      <c r="B5" s="443"/>
      <c r="C5" s="443"/>
      <c r="D5" s="443"/>
    </row>
    <row r="6" spans="1:4" s="4" customFormat="1" ht="12.75">
      <c r="A6" s="164" t="s">
        <v>194</v>
      </c>
      <c r="B6" s="164"/>
      <c r="C6" s="448" t="str">
        <f>'F4-D'!B18</f>
        <v>Laptop PC</v>
      </c>
      <c r="D6" s="448"/>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153">
      <c r="A10" s="167">
        <v>1</v>
      </c>
      <c r="B10" s="168" t="s">
        <v>198</v>
      </c>
      <c r="C10" s="230" t="s">
        <v>276</v>
      </c>
      <c r="D10" s="169"/>
      <c r="E10" s="84"/>
      <c r="F10" s="76"/>
      <c r="G10" s="76"/>
    </row>
    <row r="11" spans="1:7" ht="12.75">
      <c r="A11" s="167"/>
      <c r="B11" s="168"/>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26" t="s">
        <v>267</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22.xml><?xml version="1.0" encoding="utf-8"?>
<worksheet xmlns="http://schemas.openxmlformats.org/spreadsheetml/2006/main" xmlns:r="http://schemas.openxmlformats.org/officeDocument/2006/relationships">
  <dimension ref="A1:W33"/>
  <sheetViews>
    <sheetView zoomScale="65" zoomScaleNormal="65" zoomScalePageLayoutView="0" workbookViewId="0" topLeftCell="A3">
      <selection activeCell="G15" sqref="G15"/>
    </sheetView>
  </sheetViews>
  <sheetFormatPr defaultColWidth="8" defaultRowHeight="15"/>
  <cols>
    <col min="1" max="1" width="2.8984375" style="4" bestFit="1" customWidth="1"/>
    <col min="2" max="2" width="19.8984375" style="124" customWidth="1"/>
    <col min="3" max="4" width="12.09765625" style="20" customWidth="1"/>
    <col min="5" max="5" width="7.59765625" style="4" customWidth="1"/>
    <col min="6" max="6" width="7.3984375" style="4" customWidth="1"/>
    <col min="7" max="21" width="7.59765625" style="4" customWidth="1"/>
    <col min="22" max="22" width="8.59765625" style="4" customWidth="1"/>
    <col min="23" max="23" width="11.5" style="4" bestFit="1" customWidth="1"/>
    <col min="24" max="16384" width="8" style="4" customWidth="1"/>
  </cols>
  <sheetData>
    <row r="1" spans="1:7" ht="12.75">
      <c r="A1" s="417" t="s">
        <v>123</v>
      </c>
      <c r="B1" s="417"/>
      <c r="C1" s="417"/>
      <c r="D1" s="265"/>
      <c r="E1" s="47"/>
      <c r="F1" s="20"/>
      <c r="G1" s="23"/>
    </row>
    <row r="2" spans="1:22" ht="12.75">
      <c r="A2" s="405" t="s">
        <v>232</v>
      </c>
      <c r="B2" s="405"/>
      <c r="C2" s="405"/>
      <c r="D2" s="405"/>
      <c r="E2" s="405"/>
      <c r="F2" s="405"/>
      <c r="G2" s="23"/>
      <c r="V2" s="176" t="s">
        <v>206</v>
      </c>
    </row>
    <row r="3" spans="1:7" ht="12.75">
      <c r="A3" s="405" t="s">
        <v>333</v>
      </c>
      <c r="B3" s="405"/>
      <c r="C3" s="405"/>
      <c r="D3" s="405"/>
      <c r="E3" s="405"/>
      <c r="F3" s="20"/>
      <c r="G3" s="23"/>
    </row>
    <row r="4" ht="12.75"/>
    <row r="5" spans="1:22" ht="15.75">
      <c r="A5" s="467" t="s">
        <v>189</v>
      </c>
      <c r="B5" s="467"/>
      <c r="C5" s="467"/>
      <c r="D5" s="467"/>
      <c r="E5" s="467"/>
      <c r="F5" s="467"/>
      <c r="G5" s="467"/>
      <c r="H5" s="467"/>
      <c r="I5" s="467"/>
      <c r="J5" s="467"/>
      <c r="K5" s="467"/>
      <c r="L5" s="467"/>
      <c r="M5" s="467"/>
      <c r="N5" s="467"/>
      <c r="O5" s="467"/>
      <c r="P5" s="467"/>
      <c r="Q5" s="467"/>
      <c r="R5" s="467"/>
      <c r="S5" s="467"/>
      <c r="T5" s="467"/>
      <c r="U5" s="467"/>
      <c r="V5" s="467"/>
    </row>
    <row r="6" spans="1:22" ht="15">
      <c r="A6" s="469" t="s">
        <v>190</v>
      </c>
      <c r="B6" s="469"/>
      <c r="C6" s="469"/>
      <c r="D6" s="469"/>
      <c r="E6" s="469"/>
      <c r="F6" s="469"/>
      <c r="G6" s="469"/>
      <c r="H6" s="469"/>
      <c r="I6" s="469"/>
      <c r="J6" s="469"/>
      <c r="K6" s="469"/>
      <c r="L6" s="469"/>
      <c r="M6" s="469"/>
      <c r="N6" s="469"/>
      <c r="O6" s="469"/>
      <c r="P6" s="469"/>
      <c r="Q6" s="469"/>
      <c r="R6" s="469"/>
      <c r="S6" s="469"/>
      <c r="T6" s="469"/>
      <c r="U6" s="469"/>
      <c r="V6" s="469"/>
    </row>
    <row r="7" spans="1:22" ht="15.75">
      <c r="A7" s="125"/>
      <c r="B7" s="125"/>
      <c r="C7" s="125"/>
      <c r="D7" s="125"/>
      <c r="E7" s="125"/>
      <c r="F7" s="125"/>
      <c r="G7" s="125"/>
      <c r="H7" s="125"/>
      <c r="I7" s="125"/>
      <c r="J7" s="125"/>
      <c r="K7" s="125"/>
      <c r="L7" s="125"/>
      <c r="M7" s="125"/>
      <c r="N7" s="125"/>
      <c r="O7" s="125"/>
      <c r="P7" s="125"/>
      <c r="Q7" s="125"/>
      <c r="R7" s="125"/>
      <c r="S7" s="125"/>
      <c r="T7" s="125"/>
      <c r="U7" s="125"/>
      <c r="V7" s="125"/>
    </row>
    <row r="8" spans="5:22" ht="12.75">
      <c r="E8" s="453" t="s">
        <v>324</v>
      </c>
      <c r="F8" s="454"/>
      <c r="G8" s="454"/>
      <c r="H8" s="454"/>
      <c r="I8" s="454"/>
      <c r="J8" s="454"/>
      <c r="K8" s="454"/>
      <c r="L8" s="454"/>
      <c r="M8" s="454"/>
      <c r="N8" s="454"/>
      <c r="O8" s="454"/>
      <c r="P8" s="454"/>
      <c r="Q8" s="454"/>
      <c r="R8" s="454"/>
      <c r="S8" s="454"/>
      <c r="T8" s="454"/>
      <c r="U8" s="454"/>
      <c r="V8" s="455"/>
    </row>
    <row r="9" spans="1:22" ht="15" customHeight="1">
      <c r="A9" s="471" t="s">
        <v>173</v>
      </c>
      <c r="B9" s="471"/>
      <c r="C9" s="468" t="s">
        <v>191</v>
      </c>
      <c r="D9" s="465" t="s">
        <v>323</v>
      </c>
      <c r="E9" s="463" t="s">
        <v>174</v>
      </c>
      <c r="F9" s="463" t="s">
        <v>175</v>
      </c>
      <c r="G9" s="463" t="s">
        <v>176</v>
      </c>
      <c r="H9" s="463" t="s">
        <v>177</v>
      </c>
      <c r="I9" s="463" t="s">
        <v>178</v>
      </c>
      <c r="J9" s="463" t="s">
        <v>179</v>
      </c>
      <c r="K9" s="463" t="s">
        <v>180</v>
      </c>
      <c r="L9" s="463" t="s">
        <v>181</v>
      </c>
      <c r="M9" s="463" t="s">
        <v>182</v>
      </c>
      <c r="N9" s="463" t="s">
        <v>183</v>
      </c>
      <c r="O9" s="463" t="s">
        <v>184</v>
      </c>
      <c r="P9" s="463" t="s">
        <v>185</v>
      </c>
      <c r="Q9" s="463" t="s">
        <v>257</v>
      </c>
      <c r="R9" s="463" t="s">
        <v>258</v>
      </c>
      <c r="S9" s="463" t="s">
        <v>259</v>
      </c>
      <c r="T9" s="463" t="s">
        <v>260</v>
      </c>
      <c r="U9" s="463" t="s">
        <v>261</v>
      </c>
      <c r="V9" s="463" t="s">
        <v>262</v>
      </c>
    </row>
    <row r="10" spans="1:22" ht="54.75" customHeight="1">
      <c r="A10" s="470" t="s">
        <v>186</v>
      </c>
      <c r="B10" s="470"/>
      <c r="C10" s="468"/>
      <c r="D10" s="466"/>
      <c r="E10" s="463"/>
      <c r="F10" s="463"/>
      <c r="G10" s="463"/>
      <c r="H10" s="463"/>
      <c r="I10" s="463"/>
      <c r="J10" s="463"/>
      <c r="K10" s="463"/>
      <c r="L10" s="463"/>
      <c r="M10" s="463"/>
      <c r="N10" s="463"/>
      <c r="O10" s="463"/>
      <c r="P10" s="463"/>
      <c r="Q10" s="463"/>
      <c r="R10" s="463"/>
      <c r="S10" s="463"/>
      <c r="T10" s="463"/>
      <c r="U10" s="463"/>
      <c r="V10" s="463"/>
    </row>
    <row r="11" spans="1:22" ht="48">
      <c r="A11" s="132">
        <v>1</v>
      </c>
      <c r="B11" s="205" t="s">
        <v>214</v>
      </c>
      <c r="C11" s="134">
        <f>'Deviz-general'!G24+'Deviz-general'!G26</f>
        <v>1.9000000000000004</v>
      </c>
      <c r="D11" s="134">
        <f>C11</f>
        <v>1.9000000000000004</v>
      </c>
      <c r="E11" s="126"/>
      <c r="F11" s="126"/>
      <c r="G11" s="126"/>
      <c r="H11" s="126"/>
      <c r="I11" s="126"/>
      <c r="J11" s="126"/>
      <c r="K11" s="126"/>
      <c r="L11" s="126"/>
      <c r="M11" s="127"/>
      <c r="N11" s="127"/>
      <c r="O11" s="127"/>
      <c r="P11" s="127"/>
      <c r="Q11" s="127"/>
      <c r="R11" s="127"/>
      <c r="S11" s="127"/>
      <c r="T11" s="127"/>
      <c r="U11" s="127"/>
      <c r="V11" s="127"/>
    </row>
    <row r="12" spans="1:23" ht="48">
      <c r="A12" s="132">
        <f>A11+1</f>
        <v>2</v>
      </c>
      <c r="B12" s="205" t="str">
        <f>'F1'!C21</f>
        <v>Proiectare (numai in cazul in care obiectivul se realizeaza in sistemul "design&amp;build")</v>
      </c>
      <c r="C12" s="134">
        <f>'Deviz-general'!G25</f>
        <v>94.07491879999999</v>
      </c>
      <c r="D12" s="134">
        <f>C12</f>
        <v>94.07491879999999</v>
      </c>
      <c r="E12" s="126"/>
      <c r="F12" s="126"/>
      <c r="G12" s="126"/>
      <c r="H12" s="126"/>
      <c r="I12" s="126"/>
      <c r="J12" s="126"/>
      <c r="K12" s="126"/>
      <c r="L12" s="126"/>
      <c r="M12" s="127"/>
      <c r="N12" s="127"/>
      <c r="O12" s="127"/>
      <c r="P12" s="127"/>
      <c r="Q12" s="127"/>
      <c r="R12" s="127"/>
      <c r="S12" s="127"/>
      <c r="T12" s="127"/>
      <c r="U12" s="127"/>
      <c r="V12" s="127"/>
      <c r="W12" s="27"/>
    </row>
    <row r="13" spans="1:23" ht="12.75">
      <c r="A13" s="132">
        <f aca="true" t="shared" si="0" ref="A13:A23">A12+1</f>
        <v>3</v>
      </c>
      <c r="B13" s="133" t="s">
        <v>213</v>
      </c>
      <c r="C13" s="134">
        <f>'Deviz-general'!G33</f>
        <v>1466.2366608</v>
      </c>
      <c r="D13" s="134"/>
      <c r="E13" s="126"/>
      <c r="F13" s="126">
        <v>85</v>
      </c>
      <c r="G13" s="126">
        <v>85</v>
      </c>
      <c r="H13" s="126">
        <v>85</v>
      </c>
      <c r="I13" s="126">
        <v>85</v>
      </c>
      <c r="J13" s="126">
        <v>85</v>
      </c>
      <c r="K13" s="126">
        <v>85</v>
      </c>
      <c r="L13" s="126">
        <v>85</v>
      </c>
      <c r="M13" s="126">
        <v>85</v>
      </c>
      <c r="N13" s="126">
        <v>85</v>
      </c>
      <c r="O13" s="126">
        <v>85</v>
      </c>
      <c r="P13" s="126">
        <v>85</v>
      </c>
      <c r="Q13" s="126">
        <v>85</v>
      </c>
      <c r="R13" s="126">
        <v>85</v>
      </c>
      <c r="S13" s="126">
        <v>85</v>
      </c>
      <c r="T13" s="126">
        <v>85</v>
      </c>
      <c r="U13" s="126">
        <v>85</v>
      </c>
      <c r="V13" s="128">
        <f>C13-SUM(E13,F13,G13,H13,I13,J13,K13,L13,M13,N13,O13,P13,Q13,R13,S13,T13,U13)</f>
        <v>106.23666079999998</v>
      </c>
      <c r="W13" s="27"/>
    </row>
    <row r="14" spans="1:23" ht="12.75">
      <c r="A14" s="132">
        <f t="shared" si="0"/>
        <v>4</v>
      </c>
      <c r="B14" s="133" t="s">
        <v>334</v>
      </c>
      <c r="C14" s="134">
        <f>'Deviz-general'!G20</f>
        <v>14.2122104</v>
      </c>
      <c r="D14" s="134"/>
      <c r="E14" s="126"/>
      <c r="F14" s="126">
        <f>C14/2</f>
        <v>7.1061052</v>
      </c>
      <c r="G14" s="126">
        <f>C14/2</f>
        <v>7.1061052</v>
      </c>
      <c r="H14" s="126"/>
      <c r="I14" s="126"/>
      <c r="J14" s="126"/>
      <c r="K14" s="126"/>
      <c r="L14" s="126"/>
      <c r="M14" s="126"/>
      <c r="N14" s="126"/>
      <c r="O14" s="126"/>
      <c r="P14" s="126"/>
      <c r="Q14" s="126"/>
      <c r="R14" s="126"/>
      <c r="S14" s="126"/>
      <c r="T14" s="126"/>
      <c r="U14" s="126"/>
      <c r="V14" s="128"/>
      <c r="W14" s="27"/>
    </row>
    <row r="15" spans="1:23" ht="24">
      <c r="A15" s="132">
        <f t="shared" si="0"/>
        <v>5</v>
      </c>
      <c r="B15" s="133" t="str">
        <f>'F2'!C24</f>
        <v>Montaj utilaje şi echipamente tehnologice</v>
      </c>
      <c r="C15" s="134">
        <f>'Deviz-general'!G34</f>
        <v>0</v>
      </c>
      <c r="D15" s="134"/>
      <c r="E15" s="126"/>
      <c r="F15" s="126"/>
      <c r="G15" s="126"/>
      <c r="H15" s="126"/>
      <c r="I15" s="126"/>
      <c r="J15" s="126"/>
      <c r="K15" s="126"/>
      <c r="L15" s="126"/>
      <c r="M15" s="128"/>
      <c r="N15" s="128"/>
      <c r="O15" s="128"/>
      <c r="P15" s="128"/>
      <c r="Q15" s="128"/>
      <c r="R15" s="128"/>
      <c r="S15" s="128"/>
      <c r="T15" s="128"/>
      <c r="U15" s="128"/>
      <c r="V15" s="128"/>
      <c r="W15" s="27"/>
    </row>
    <row r="16" spans="1:23" ht="24">
      <c r="A16" s="132">
        <f t="shared" si="0"/>
        <v>6</v>
      </c>
      <c r="B16" s="135" t="str">
        <f>'F2'!C27</f>
        <v>Utilaje şi echipamente tehnologice </v>
      </c>
      <c r="C16" s="134">
        <f>'Deviz-general'!G35</f>
        <v>19.203012</v>
      </c>
      <c r="D16" s="134"/>
      <c r="E16" s="126"/>
      <c r="F16" s="126"/>
      <c r="G16" s="126"/>
      <c r="H16" s="126"/>
      <c r="I16" s="126"/>
      <c r="J16" s="126"/>
      <c r="K16" s="126"/>
      <c r="L16" s="126"/>
      <c r="M16" s="128"/>
      <c r="N16" s="128"/>
      <c r="O16" s="128"/>
      <c r="P16" s="128"/>
      <c r="Q16" s="128"/>
      <c r="R16" s="128"/>
      <c r="S16" s="128"/>
      <c r="T16" s="128"/>
      <c r="U16" s="128"/>
      <c r="V16" s="128">
        <f aca="true" t="shared" si="1" ref="V16:V21">C16-SUM(E16,F16,G16,H16,I16,J16,K16,L16,M16,N16,O16,P16,Q16,R16,S16,T16,U16)</f>
        <v>19.203012</v>
      </c>
      <c r="W16" s="27"/>
    </row>
    <row r="17" spans="1:23" ht="24">
      <c r="A17" s="132">
        <f t="shared" si="0"/>
        <v>7</v>
      </c>
      <c r="B17" s="135" t="str">
        <f>'F2'!C29</f>
        <v>Dotări (mobilier si echipamente)</v>
      </c>
      <c r="C17" s="134">
        <f>'Deviz-general'!G37</f>
        <v>52.159608</v>
      </c>
      <c r="D17" s="134"/>
      <c r="E17" s="126"/>
      <c r="F17" s="126"/>
      <c r="G17" s="126"/>
      <c r="H17" s="126"/>
      <c r="I17" s="126"/>
      <c r="J17" s="126"/>
      <c r="K17" s="126"/>
      <c r="L17" s="126"/>
      <c r="M17" s="127"/>
      <c r="N17" s="127"/>
      <c r="O17" s="127"/>
      <c r="P17" s="127"/>
      <c r="Q17" s="127"/>
      <c r="R17" s="127"/>
      <c r="S17" s="127"/>
      <c r="T17" s="127"/>
      <c r="U17" s="127"/>
      <c r="V17" s="128">
        <f t="shared" si="1"/>
        <v>52.159608</v>
      </c>
      <c r="W17" s="27"/>
    </row>
    <row r="18" spans="1:23" ht="24">
      <c r="A18" s="132">
        <f t="shared" si="0"/>
        <v>8</v>
      </c>
      <c r="B18" s="136" t="str">
        <f>'Deviz-general'!B48</f>
        <v>Cheltuieli diverse si neprevazute </v>
      </c>
      <c r="C18" s="134">
        <f>'Deviz-general'!G48</f>
        <v>52.452</v>
      </c>
      <c r="D18" s="134"/>
      <c r="E18" s="126"/>
      <c r="F18" s="126">
        <f>F13*5%</f>
        <v>4.25</v>
      </c>
      <c r="G18" s="126">
        <f aca="true" t="shared" si="2" ref="G18:U18">G13*5%</f>
        <v>4.25</v>
      </c>
      <c r="H18" s="126">
        <f t="shared" si="2"/>
        <v>4.25</v>
      </c>
      <c r="I18" s="126">
        <f t="shared" si="2"/>
        <v>4.25</v>
      </c>
      <c r="J18" s="126">
        <f t="shared" si="2"/>
        <v>4.25</v>
      </c>
      <c r="K18" s="126">
        <f t="shared" si="2"/>
        <v>4.25</v>
      </c>
      <c r="L18" s="126">
        <f t="shared" si="2"/>
        <v>4.25</v>
      </c>
      <c r="M18" s="126">
        <f t="shared" si="2"/>
        <v>4.25</v>
      </c>
      <c r="N18" s="126">
        <f t="shared" si="2"/>
        <v>4.25</v>
      </c>
      <c r="O18" s="126">
        <f t="shared" si="2"/>
        <v>4.25</v>
      </c>
      <c r="P18" s="126">
        <f t="shared" si="2"/>
        <v>4.25</v>
      </c>
      <c r="Q18" s="126">
        <f t="shared" si="2"/>
        <v>4.25</v>
      </c>
      <c r="R18" s="126">
        <f t="shared" si="2"/>
        <v>4.25</v>
      </c>
      <c r="S18" s="126">
        <f t="shared" si="2"/>
        <v>4.25</v>
      </c>
      <c r="T18" s="126">
        <f t="shared" si="2"/>
        <v>4.25</v>
      </c>
      <c r="U18" s="126">
        <f t="shared" si="2"/>
        <v>4.25</v>
      </c>
      <c r="V18" s="128">
        <f t="shared" si="1"/>
        <v>-15.548000000000002</v>
      </c>
      <c r="W18" s="27"/>
    </row>
    <row r="19" spans="1:23" ht="12.75">
      <c r="A19" s="132">
        <f t="shared" si="0"/>
        <v>9</v>
      </c>
      <c r="B19" s="136" t="str">
        <f>'Deviz-general'!B42:C42</f>
        <v>Organizare de santier</v>
      </c>
      <c r="C19" s="134">
        <f>'Deviz-general'!G43</f>
        <v>36.655916520000005</v>
      </c>
      <c r="D19" s="134"/>
      <c r="E19" s="126"/>
      <c r="F19" s="126">
        <f aca="true" t="shared" si="3" ref="F19:U19">SUM(F13,F15)*2.5%</f>
        <v>2.125</v>
      </c>
      <c r="G19" s="126">
        <f t="shared" si="3"/>
        <v>2.125</v>
      </c>
      <c r="H19" s="126">
        <f t="shared" si="3"/>
        <v>2.125</v>
      </c>
      <c r="I19" s="126">
        <f t="shared" si="3"/>
        <v>2.125</v>
      </c>
      <c r="J19" s="126">
        <f t="shared" si="3"/>
        <v>2.125</v>
      </c>
      <c r="K19" s="126">
        <f t="shared" si="3"/>
        <v>2.125</v>
      </c>
      <c r="L19" s="126">
        <f t="shared" si="3"/>
        <v>2.125</v>
      </c>
      <c r="M19" s="126">
        <f t="shared" si="3"/>
        <v>2.125</v>
      </c>
      <c r="N19" s="126">
        <f t="shared" si="3"/>
        <v>2.125</v>
      </c>
      <c r="O19" s="126">
        <f t="shared" si="3"/>
        <v>2.125</v>
      </c>
      <c r="P19" s="126">
        <f t="shared" si="3"/>
        <v>2.125</v>
      </c>
      <c r="Q19" s="126">
        <f t="shared" si="3"/>
        <v>2.125</v>
      </c>
      <c r="R19" s="126">
        <f t="shared" si="3"/>
        <v>2.125</v>
      </c>
      <c r="S19" s="126">
        <f t="shared" si="3"/>
        <v>2.125</v>
      </c>
      <c r="T19" s="126">
        <f t="shared" si="3"/>
        <v>2.125</v>
      </c>
      <c r="U19" s="126">
        <f t="shared" si="3"/>
        <v>2.125</v>
      </c>
      <c r="V19" s="128">
        <f t="shared" si="1"/>
        <v>2.655916520000005</v>
      </c>
      <c r="W19" s="27"/>
    </row>
    <row r="20" spans="1:23" ht="12.75">
      <c r="A20" s="132">
        <f t="shared" si="0"/>
        <v>10</v>
      </c>
      <c r="B20" s="136" t="str">
        <f>'Deviz-general'!B27:C27</f>
        <v>Consultanta</v>
      </c>
      <c r="C20" s="134">
        <f>'Deviz-general'!G27</f>
        <v>52.56484</v>
      </c>
      <c r="D20" s="134"/>
      <c r="E20" s="126">
        <v>2.8</v>
      </c>
      <c r="F20" s="126">
        <v>2.8</v>
      </c>
      <c r="G20" s="126">
        <v>2.8</v>
      </c>
      <c r="H20" s="126">
        <v>2.8</v>
      </c>
      <c r="I20" s="126">
        <v>2.8</v>
      </c>
      <c r="J20" s="126">
        <v>2.8</v>
      </c>
      <c r="K20" s="126">
        <v>2.8</v>
      </c>
      <c r="L20" s="126">
        <v>2.8</v>
      </c>
      <c r="M20" s="126">
        <v>2.8</v>
      </c>
      <c r="N20" s="126">
        <v>2.8</v>
      </c>
      <c r="O20" s="126">
        <v>2.8</v>
      </c>
      <c r="P20" s="126">
        <v>2.8</v>
      </c>
      <c r="Q20" s="126">
        <v>2.8</v>
      </c>
      <c r="R20" s="126">
        <v>2.8</v>
      </c>
      <c r="S20" s="126">
        <v>2.8</v>
      </c>
      <c r="T20" s="126">
        <v>2.8</v>
      </c>
      <c r="U20" s="126">
        <v>2.8</v>
      </c>
      <c r="V20" s="128">
        <f t="shared" si="1"/>
        <v>4.9648400000000095</v>
      </c>
      <c r="W20" s="27"/>
    </row>
    <row r="21" spans="1:23" ht="12.75">
      <c r="A21" s="132">
        <f t="shared" si="0"/>
        <v>11</v>
      </c>
      <c r="B21" s="136" t="str">
        <f>'Deviz-general'!B28:C28</f>
        <v>Asitenta tehnica</v>
      </c>
      <c r="C21" s="134">
        <f>'Deviz-general'!G28</f>
        <v>67.397844</v>
      </c>
      <c r="D21" s="134"/>
      <c r="E21" s="126"/>
      <c r="F21" s="126">
        <f>SUM(F13,F15,F18,F19)*4%</f>
        <v>3.6550000000000002</v>
      </c>
      <c r="G21" s="126">
        <f aca="true" t="shared" si="4" ref="G21:U21">SUM(G13,G15,G18,G19)*4%</f>
        <v>3.6550000000000002</v>
      </c>
      <c r="H21" s="126">
        <f t="shared" si="4"/>
        <v>3.6550000000000002</v>
      </c>
      <c r="I21" s="126">
        <f t="shared" si="4"/>
        <v>3.6550000000000002</v>
      </c>
      <c r="J21" s="126">
        <f t="shared" si="4"/>
        <v>3.6550000000000002</v>
      </c>
      <c r="K21" s="126">
        <f t="shared" si="4"/>
        <v>3.6550000000000002</v>
      </c>
      <c r="L21" s="126">
        <f t="shared" si="4"/>
        <v>3.6550000000000002</v>
      </c>
      <c r="M21" s="126">
        <f t="shared" si="4"/>
        <v>3.6550000000000002</v>
      </c>
      <c r="N21" s="126">
        <f t="shared" si="4"/>
        <v>3.6550000000000002</v>
      </c>
      <c r="O21" s="126">
        <f t="shared" si="4"/>
        <v>3.6550000000000002</v>
      </c>
      <c r="P21" s="126">
        <f t="shared" si="4"/>
        <v>3.6550000000000002</v>
      </c>
      <c r="Q21" s="126">
        <f t="shared" si="4"/>
        <v>3.6550000000000002</v>
      </c>
      <c r="R21" s="126">
        <f t="shared" si="4"/>
        <v>3.6550000000000002</v>
      </c>
      <c r="S21" s="126">
        <f t="shared" si="4"/>
        <v>3.6550000000000002</v>
      </c>
      <c r="T21" s="126">
        <f t="shared" si="4"/>
        <v>3.6550000000000002</v>
      </c>
      <c r="U21" s="126">
        <f t="shared" si="4"/>
        <v>3.6550000000000002</v>
      </c>
      <c r="V21" s="128">
        <f t="shared" si="1"/>
        <v>8.917843999999995</v>
      </c>
      <c r="W21" s="27"/>
    </row>
    <row r="22" spans="1:23" ht="24">
      <c r="A22" s="132">
        <f t="shared" si="0"/>
        <v>12</v>
      </c>
      <c r="B22" s="136" t="str">
        <f>'Deviz-general'!C46</f>
        <v>Comisioane, taxe, cote legale</v>
      </c>
      <c r="C22" s="134">
        <f>'Deviz-general'!G46</f>
        <v>11.019</v>
      </c>
      <c r="D22" s="134">
        <f>C22</f>
        <v>11.019</v>
      </c>
      <c r="E22" s="126"/>
      <c r="F22" s="126"/>
      <c r="G22" s="126"/>
      <c r="H22" s="126"/>
      <c r="I22" s="126"/>
      <c r="J22" s="126"/>
      <c r="K22" s="126"/>
      <c r="L22" s="126"/>
      <c r="M22" s="126"/>
      <c r="N22" s="126"/>
      <c r="O22" s="126"/>
      <c r="P22" s="126"/>
      <c r="Q22" s="126"/>
      <c r="R22" s="126"/>
      <c r="S22" s="126"/>
      <c r="T22" s="126"/>
      <c r="U22" s="126"/>
      <c r="V22" s="128"/>
      <c r="W22" s="27"/>
    </row>
    <row r="23" spans="1:22" ht="24">
      <c r="A23" s="132">
        <f t="shared" si="0"/>
        <v>13</v>
      </c>
      <c r="B23" s="136" t="s">
        <v>187</v>
      </c>
      <c r="C23" s="137" t="s">
        <v>188</v>
      </c>
      <c r="D23" s="137"/>
      <c r="E23" s="126"/>
      <c r="F23" s="126"/>
      <c r="G23" s="126"/>
      <c r="H23" s="126"/>
      <c r="I23" s="126"/>
      <c r="J23" s="126"/>
      <c r="K23" s="126"/>
      <c r="L23" s="126"/>
      <c r="M23" s="129"/>
      <c r="N23" s="129"/>
      <c r="O23" s="129"/>
      <c r="P23" s="129"/>
      <c r="Q23" s="129"/>
      <c r="R23" s="129"/>
      <c r="S23" s="129"/>
      <c r="T23" s="129"/>
      <c r="U23" s="129"/>
      <c r="V23" s="131" t="str">
        <f>C23</f>
        <v>XXXX</v>
      </c>
    </row>
    <row r="24" spans="1:22" ht="12.75">
      <c r="A24" s="456" t="s">
        <v>54</v>
      </c>
      <c r="B24" s="456"/>
      <c r="C24" s="464">
        <f>SUM(C11:C22)</f>
        <v>1867.8760105200001</v>
      </c>
      <c r="D24" s="266">
        <f>SUM(D11:D23)</f>
        <v>106.9939188</v>
      </c>
      <c r="E24" s="130">
        <f>SUM(E11:E23)</f>
        <v>2.8</v>
      </c>
      <c r="F24" s="130">
        <f aca="true" t="shared" si="5" ref="F24:O24">SUM(F11:F23)</f>
        <v>104.9361052</v>
      </c>
      <c r="G24" s="130">
        <f t="shared" si="5"/>
        <v>104.9361052</v>
      </c>
      <c r="H24" s="130">
        <f t="shared" si="5"/>
        <v>97.83</v>
      </c>
      <c r="I24" s="130">
        <f t="shared" si="5"/>
        <v>97.83</v>
      </c>
      <c r="J24" s="130">
        <f t="shared" si="5"/>
        <v>97.83</v>
      </c>
      <c r="K24" s="130">
        <f t="shared" si="5"/>
        <v>97.83</v>
      </c>
      <c r="L24" s="130">
        <f t="shared" si="5"/>
        <v>97.83</v>
      </c>
      <c r="M24" s="130">
        <f t="shared" si="5"/>
        <v>97.83</v>
      </c>
      <c r="N24" s="130">
        <f t="shared" si="5"/>
        <v>97.83</v>
      </c>
      <c r="O24" s="130">
        <f t="shared" si="5"/>
        <v>97.83</v>
      </c>
      <c r="P24" s="130">
        <f aca="true" t="shared" si="6" ref="P24:U24">SUM(P11:P23)</f>
        <v>97.83</v>
      </c>
      <c r="Q24" s="130">
        <f t="shared" si="6"/>
        <v>97.83</v>
      </c>
      <c r="R24" s="130">
        <f t="shared" si="6"/>
        <v>97.83</v>
      </c>
      <c r="S24" s="130">
        <f t="shared" si="6"/>
        <v>97.83</v>
      </c>
      <c r="T24" s="130">
        <f t="shared" si="6"/>
        <v>97.83</v>
      </c>
      <c r="U24" s="130">
        <f t="shared" si="6"/>
        <v>97.83</v>
      </c>
      <c r="V24" s="130">
        <f>SUM(V12:V23)</f>
        <v>178.58988132</v>
      </c>
    </row>
    <row r="25" spans="1:23" ht="15.75" customHeight="1">
      <c r="A25" s="456"/>
      <c r="B25" s="456"/>
      <c r="C25" s="464"/>
      <c r="D25" s="460">
        <f>SUM(D24:P24)</f>
        <v>1200.1361292000001</v>
      </c>
      <c r="E25" s="461"/>
      <c r="F25" s="461"/>
      <c r="G25" s="461"/>
      <c r="H25" s="461"/>
      <c r="I25" s="461"/>
      <c r="J25" s="461"/>
      <c r="K25" s="461"/>
      <c r="L25" s="461"/>
      <c r="M25" s="461"/>
      <c r="N25" s="461"/>
      <c r="O25" s="461"/>
      <c r="P25" s="462"/>
      <c r="Q25" s="458">
        <f>SUM(Q24:V24)</f>
        <v>667.73988132</v>
      </c>
      <c r="R25" s="459"/>
      <c r="S25" s="459"/>
      <c r="T25" s="459"/>
      <c r="U25" s="459"/>
      <c r="V25" s="459"/>
      <c r="W25" s="27"/>
    </row>
    <row r="26" spans="1:22" ht="12.75">
      <c r="A26" s="456"/>
      <c r="B26" s="456"/>
      <c r="C26" s="464"/>
      <c r="D26" s="266"/>
      <c r="E26" s="457">
        <f>SUM(D25:V25)</f>
        <v>1867.8760105200001</v>
      </c>
      <c r="F26" s="457"/>
      <c r="G26" s="457"/>
      <c r="H26" s="457"/>
      <c r="I26" s="457"/>
      <c r="J26" s="457"/>
      <c r="K26" s="457"/>
      <c r="L26" s="457"/>
      <c r="M26" s="457"/>
      <c r="N26" s="457"/>
      <c r="O26" s="457"/>
      <c r="P26" s="457"/>
      <c r="Q26" s="457"/>
      <c r="R26" s="457"/>
      <c r="S26" s="457"/>
      <c r="T26" s="457"/>
      <c r="U26" s="457"/>
      <c r="V26" s="457"/>
    </row>
    <row r="27" spans="1:22" ht="12.75">
      <c r="A27" s="220"/>
      <c r="B27" s="220"/>
      <c r="C27" s="221"/>
      <c r="D27" s="221"/>
      <c r="E27" s="222"/>
      <c r="F27" s="223"/>
      <c r="G27" s="223"/>
      <c r="H27" s="223"/>
      <c r="I27" s="223"/>
      <c r="J27" s="223"/>
      <c r="K27" s="223"/>
      <c r="L27" s="223"/>
      <c r="M27" s="223"/>
      <c r="N27" s="223"/>
      <c r="O27" s="223"/>
      <c r="P27" s="223"/>
      <c r="Q27" s="223"/>
      <c r="R27" s="223"/>
      <c r="S27" s="223"/>
      <c r="T27" s="223"/>
      <c r="U27" s="223"/>
      <c r="V27" s="223"/>
    </row>
    <row r="28" spans="1:22" ht="12.75">
      <c r="A28" s="220"/>
      <c r="B28" s="220"/>
      <c r="C28" s="298">
        <f>'Deviz-general'!G56-GRAFIC!C24</f>
        <v>0</v>
      </c>
      <c r="D28" s="221"/>
      <c r="E28" s="222"/>
      <c r="F28" s="223"/>
      <c r="G28" s="223"/>
      <c r="H28" s="223"/>
      <c r="I28" s="223"/>
      <c r="J28" s="223"/>
      <c r="K28" s="223"/>
      <c r="L28" s="223"/>
      <c r="M28" s="223"/>
      <c r="N28" s="223"/>
      <c r="O28" s="223"/>
      <c r="P28" s="223"/>
      <c r="Q28" s="223"/>
      <c r="R28" s="223"/>
      <c r="S28" s="223"/>
      <c r="T28" s="223"/>
      <c r="U28" s="223"/>
      <c r="V28" s="223"/>
    </row>
    <row r="29" spans="11:13" ht="12.75">
      <c r="K29" s="451" t="s">
        <v>117</v>
      </c>
      <c r="L29" s="450"/>
      <c r="M29" s="450"/>
    </row>
    <row r="30" spans="9:14" ht="12.75">
      <c r="I30" s="20"/>
      <c r="K30" s="452"/>
      <c r="L30" s="452"/>
      <c r="M30" s="452"/>
      <c r="N30" s="452"/>
    </row>
    <row r="32" spans="5:22" ht="12.75">
      <c r="E32" s="27">
        <f>E13+E19</f>
        <v>0</v>
      </c>
      <c r="F32" s="27">
        <f aca="true" t="shared" si="7" ref="F32:V32">F13+F19</f>
        <v>87.125</v>
      </c>
      <c r="G32" s="27">
        <f t="shared" si="7"/>
        <v>87.125</v>
      </c>
      <c r="H32" s="27">
        <f t="shared" si="7"/>
        <v>87.125</v>
      </c>
      <c r="I32" s="27">
        <f t="shared" si="7"/>
        <v>87.125</v>
      </c>
      <c r="J32" s="27">
        <f t="shared" si="7"/>
        <v>87.125</v>
      </c>
      <c r="K32" s="27">
        <f t="shared" si="7"/>
        <v>87.125</v>
      </c>
      <c r="L32" s="27">
        <f t="shared" si="7"/>
        <v>87.125</v>
      </c>
      <c r="M32" s="27">
        <f t="shared" si="7"/>
        <v>87.125</v>
      </c>
      <c r="N32" s="27">
        <f t="shared" si="7"/>
        <v>87.125</v>
      </c>
      <c r="O32" s="27">
        <f t="shared" si="7"/>
        <v>87.125</v>
      </c>
      <c r="P32" s="27">
        <f t="shared" si="7"/>
        <v>87.125</v>
      </c>
      <c r="Q32" s="27">
        <f t="shared" si="7"/>
        <v>87.125</v>
      </c>
      <c r="R32" s="27">
        <f t="shared" si="7"/>
        <v>87.125</v>
      </c>
      <c r="S32" s="27">
        <f t="shared" si="7"/>
        <v>87.125</v>
      </c>
      <c r="T32" s="27">
        <f t="shared" si="7"/>
        <v>87.125</v>
      </c>
      <c r="U32" s="27">
        <f t="shared" si="7"/>
        <v>87.125</v>
      </c>
      <c r="V32" s="27">
        <f t="shared" si="7"/>
        <v>108.89257731999999</v>
      </c>
    </row>
    <row r="33" spans="5:22" ht="12.75">
      <c r="E33" s="449">
        <f>SUM(E32:P32)</f>
        <v>958.375</v>
      </c>
      <c r="F33" s="450"/>
      <c r="G33" s="450"/>
      <c r="H33" s="450"/>
      <c r="I33" s="450"/>
      <c r="J33" s="450"/>
      <c r="K33" s="450"/>
      <c r="L33" s="450"/>
      <c r="M33" s="450"/>
      <c r="N33" s="450"/>
      <c r="O33" s="450"/>
      <c r="P33" s="450"/>
      <c r="Q33" s="449">
        <f>SUM(Q32:V32)</f>
        <v>544.51757732</v>
      </c>
      <c r="R33" s="450"/>
      <c r="S33" s="450"/>
      <c r="T33" s="450"/>
      <c r="U33" s="450"/>
      <c r="V33" s="450"/>
    </row>
  </sheetData>
  <sheetProtection/>
  <mergeCells count="37">
    <mergeCell ref="A6:V6"/>
    <mergeCell ref="I9:I10"/>
    <mergeCell ref="O9:O10"/>
    <mergeCell ref="N9:N10"/>
    <mergeCell ref="A10:B10"/>
    <mergeCell ref="A9:B9"/>
    <mergeCell ref="E9:E10"/>
    <mergeCell ref="P9:P10"/>
    <mergeCell ref="T9:T10"/>
    <mergeCell ref="R9:R10"/>
    <mergeCell ref="A1:C1"/>
    <mergeCell ref="A3:E3"/>
    <mergeCell ref="A5:V5"/>
    <mergeCell ref="V9:V10"/>
    <mergeCell ref="K9:K10"/>
    <mergeCell ref="L9:L10"/>
    <mergeCell ref="C9:C10"/>
    <mergeCell ref="U9:U10"/>
    <mergeCell ref="A2:F2"/>
    <mergeCell ref="J9:J10"/>
    <mergeCell ref="Q9:Q10"/>
    <mergeCell ref="H9:H10"/>
    <mergeCell ref="C24:C26"/>
    <mergeCell ref="G9:G10"/>
    <mergeCell ref="F9:F10"/>
    <mergeCell ref="M9:M10"/>
    <mergeCell ref="D9:D10"/>
    <mergeCell ref="E33:P33"/>
    <mergeCell ref="Q33:V33"/>
    <mergeCell ref="K29:M29"/>
    <mergeCell ref="K30:N30"/>
    <mergeCell ref="E8:V8"/>
    <mergeCell ref="A24:B26"/>
    <mergeCell ref="E26:V26"/>
    <mergeCell ref="Q25:V25"/>
    <mergeCell ref="D25:P25"/>
    <mergeCell ref="S9:S10"/>
  </mergeCells>
  <printOptions/>
  <pageMargins left="0.58" right="0.12" top="0.62" bottom="0.3" header="0.16" footer="0.22"/>
  <pageSetup blackAndWhite="1" horizontalDpi="144" verticalDpi="144" orientation="landscape" paperSize="8" r:id="rId3"/>
  <headerFooter alignWithMargins="0">
    <oddHeader>&amp;L&amp;"Arial,Regular"&amp;10FORMULAR F6&amp;R&amp;10  &amp;8               SC PRO-EM SRL
Covasna, str Unirii, nr. 2, jud. Covasna
 - J14/45/2007; CUI:20882687 -</oddHead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2:F44"/>
  <sheetViews>
    <sheetView zoomScalePageLayoutView="0" workbookViewId="0" topLeftCell="A1">
      <selection activeCell="A4" sqref="A4:B4"/>
    </sheetView>
  </sheetViews>
  <sheetFormatPr defaultColWidth="8" defaultRowHeight="15"/>
  <cols>
    <col min="1" max="1" width="5" style="4" bestFit="1" customWidth="1"/>
    <col min="2" max="2" width="54.19921875" style="4" bestFit="1" customWidth="1"/>
    <col min="3" max="3" width="13.8984375" style="4" bestFit="1" customWidth="1"/>
    <col min="4" max="4" width="8" style="4" customWidth="1"/>
    <col min="5" max="6" width="11.19921875" style="4" bestFit="1" customWidth="1"/>
    <col min="7" max="16384" width="8" style="4" customWidth="1"/>
  </cols>
  <sheetData>
    <row r="1" ht="12.75"/>
    <row r="2" spans="1:3" ht="15">
      <c r="A2" s="178"/>
      <c r="B2" s="181" t="s">
        <v>208</v>
      </c>
      <c r="C2" s="179" t="s">
        <v>209</v>
      </c>
    </row>
    <row r="3" spans="1:3" ht="12.75">
      <c r="A3" s="47" t="s">
        <v>123</v>
      </c>
      <c r="B3" s="47"/>
      <c r="C3" s="176" t="s">
        <v>206</v>
      </c>
    </row>
    <row r="4" spans="1:5" ht="12.75">
      <c r="A4" s="405" t="s">
        <v>232</v>
      </c>
      <c r="B4" s="405"/>
      <c r="C4" s="162"/>
      <c r="D4" s="162"/>
      <c r="E4" s="23"/>
    </row>
    <row r="5" spans="1:5" ht="12.75">
      <c r="A5" s="446" t="e">
        <f>#REF!</f>
        <v>#REF!</v>
      </c>
      <c r="B5" s="446"/>
      <c r="C5" s="162"/>
      <c r="D5" s="180"/>
      <c r="E5" s="23"/>
    </row>
    <row r="6" ht="12.75"/>
    <row r="7" ht="12.75"/>
    <row r="8" spans="1:3" ht="15.75">
      <c r="A8" s="476" t="s">
        <v>68</v>
      </c>
      <c r="B8" s="477"/>
      <c r="C8" s="478"/>
    </row>
    <row r="9" spans="1:3" ht="22.5">
      <c r="A9" s="198" t="s">
        <v>69</v>
      </c>
      <c r="B9" s="199" t="s">
        <v>70</v>
      </c>
      <c r="C9" s="200" t="s">
        <v>120</v>
      </c>
    </row>
    <row r="10" spans="1:3" ht="12.75">
      <c r="A10" s="479">
        <v>1</v>
      </c>
      <c r="B10" s="196" t="s">
        <v>71</v>
      </c>
      <c r="C10" s="197">
        <f>SUM(C11:C21)</f>
        <v>12.919</v>
      </c>
    </row>
    <row r="11" spans="1:3" ht="12.75" customHeight="1">
      <c r="A11" s="480"/>
      <c r="B11" s="25" t="s">
        <v>72</v>
      </c>
      <c r="C11" s="183">
        <v>0</v>
      </c>
    </row>
    <row r="12" spans="1:3" ht="22.5">
      <c r="A12" s="480"/>
      <c r="B12" s="25" t="s">
        <v>73</v>
      </c>
      <c r="C12" s="184">
        <v>0</v>
      </c>
    </row>
    <row r="13" spans="1:3" ht="22.5">
      <c r="A13" s="480"/>
      <c r="B13" s="25" t="s">
        <v>74</v>
      </c>
      <c r="C13" s="183">
        <v>0.3</v>
      </c>
    </row>
    <row r="14" spans="1:3" ht="12.75" customHeight="1">
      <c r="A14" s="480"/>
      <c r="B14" s="25" t="s">
        <v>75</v>
      </c>
      <c r="C14" s="183">
        <v>0.1</v>
      </c>
    </row>
    <row r="15" spans="1:3" ht="12.75" customHeight="1">
      <c r="A15" s="480"/>
      <c r="B15" s="25" t="s">
        <v>76</v>
      </c>
      <c r="C15" s="183">
        <v>0</v>
      </c>
    </row>
    <row r="16" spans="1:3" ht="12.75" customHeight="1">
      <c r="A16" s="480"/>
      <c r="B16" s="25" t="s">
        <v>77</v>
      </c>
      <c r="C16" s="183">
        <v>0</v>
      </c>
    </row>
    <row r="17" spans="1:3" ht="12.75" customHeight="1">
      <c r="A17" s="480"/>
      <c r="B17" s="25" t="s">
        <v>78</v>
      </c>
      <c r="C17" s="183">
        <v>0.5</v>
      </c>
    </row>
    <row r="18" spans="1:3" ht="12.75" customHeight="1">
      <c r="A18" s="480"/>
      <c r="B18" s="25" t="s">
        <v>79</v>
      </c>
      <c r="C18" s="183">
        <v>0.5</v>
      </c>
    </row>
    <row r="19" spans="1:3" ht="12.75" customHeight="1">
      <c r="A19" s="480"/>
      <c r="B19" s="25" t="s">
        <v>80</v>
      </c>
      <c r="C19" s="185">
        <v>11.019</v>
      </c>
    </row>
    <row r="20" spans="1:6" ht="12.75" customHeight="1">
      <c r="A20" s="480"/>
      <c r="B20" s="25" t="s">
        <v>81</v>
      </c>
      <c r="C20" s="183">
        <v>0</v>
      </c>
      <c r="F20" s="26"/>
    </row>
    <row r="21" spans="1:6" ht="12.75" customHeight="1">
      <c r="A21" s="480"/>
      <c r="B21" s="25" t="s">
        <v>82</v>
      </c>
      <c r="C21" s="183">
        <v>0.5</v>
      </c>
      <c r="F21" s="27"/>
    </row>
    <row r="22" spans="1:3" ht="12.75">
      <c r="A22" s="472">
        <v>2</v>
      </c>
      <c r="B22" s="28" t="s">
        <v>83</v>
      </c>
      <c r="C22" s="182">
        <f>C23+C29+C30+C31+C32</f>
        <v>75.86686999999999</v>
      </c>
    </row>
    <row r="23" spans="1:3" ht="12.75">
      <c r="A23" s="472"/>
      <c r="B23" s="29" t="s">
        <v>84</v>
      </c>
      <c r="C23" s="186">
        <f>SUM(C24:C28)</f>
        <v>75.86686999999999</v>
      </c>
    </row>
    <row r="24" spans="1:6" ht="22.5">
      <c r="A24" s="472"/>
      <c r="B24" s="29" t="s">
        <v>85</v>
      </c>
      <c r="C24" s="183">
        <v>0</v>
      </c>
      <c r="D24" s="23"/>
      <c r="E24" s="27"/>
      <c r="F24" s="26"/>
    </row>
    <row r="25" spans="1:3" ht="12.75">
      <c r="A25" s="472"/>
      <c r="B25" s="29" t="s">
        <v>211</v>
      </c>
      <c r="C25" s="185">
        <v>23.184</v>
      </c>
    </row>
    <row r="26" spans="1:5" ht="12.75">
      <c r="A26" s="472"/>
      <c r="B26" s="29" t="s">
        <v>86</v>
      </c>
      <c r="C26" s="185">
        <v>33.72</v>
      </c>
      <c r="E26" s="27"/>
    </row>
    <row r="27" spans="1:5" ht="12.75">
      <c r="A27" s="472"/>
      <c r="B27" s="29" t="s">
        <v>87</v>
      </c>
      <c r="C27" s="185">
        <v>15.17</v>
      </c>
      <c r="E27" s="272">
        <f>C26+C27+C28+C37+C38</f>
        <v>69.06287</v>
      </c>
    </row>
    <row r="28" spans="1:5" ht="12.75">
      <c r="A28" s="472"/>
      <c r="B28" s="29" t="s">
        <v>88</v>
      </c>
      <c r="C28" s="185">
        <v>3.79287</v>
      </c>
      <c r="E28" s="20">
        <f>E27*1000</f>
        <v>69062.87000000001</v>
      </c>
    </row>
    <row r="29" spans="1:6" ht="22.5">
      <c r="A29" s="472"/>
      <c r="B29" s="29" t="s">
        <v>89</v>
      </c>
      <c r="C29" s="187">
        <f>Cote!C11</f>
        <v>0</v>
      </c>
      <c r="E29" s="27">
        <f>E28-69062.87</f>
        <v>0</v>
      </c>
      <c r="F29" s="273">
        <f>E29/1000</f>
        <v>0</v>
      </c>
    </row>
    <row r="30" spans="1:5" ht="12.75">
      <c r="A30" s="472"/>
      <c r="B30" s="29" t="s">
        <v>90</v>
      </c>
      <c r="C30" s="188">
        <v>0</v>
      </c>
      <c r="E30" s="30"/>
    </row>
    <row r="31" spans="1:5" ht="12.75">
      <c r="A31" s="472"/>
      <c r="B31" s="29" t="s">
        <v>91</v>
      </c>
      <c r="C31" s="188">
        <v>0</v>
      </c>
      <c r="E31" s="27"/>
    </row>
    <row r="32" spans="1:5" ht="22.5">
      <c r="A32" s="472"/>
      <c r="B32" s="29" t="s">
        <v>92</v>
      </c>
      <c r="C32" s="188">
        <v>0</v>
      </c>
      <c r="E32" s="26"/>
    </row>
    <row r="33" spans="1:5" ht="12.75">
      <c r="A33" s="472">
        <v>3</v>
      </c>
      <c r="B33" s="31" t="s">
        <v>93</v>
      </c>
      <c r="C33" s="182">
        <f>C34+C35</f>
        <v>42.391</v>
      </c>
      <c r="E33" s="30">
        <f>C33*1000</f>
        <v>42391</v>
      </c>
    </row>
    <row r="34" spans="1:5" ht="22.5">
      <c r="A34" s="472"/>
      <c r="B34" s="32" t="s">
        <v>94</v>
      </c>
      <c r="C34" s="185">
        <v>0</v>
      </c>
      <c r="E34" s="27"/>
    </row>
    <row r="35" spans="1:3" ht="22.5">
      <c r="A35" s="472"/>
      <c r="B35" s="32" t="s">
        <v>95</v>
      </c>
      <c r="C35" s="185">
        <v>42.391</v>
      </c>
    </row>
    <row r="36" spans="1:5" ht="12.75">
      <c r="A36" s="472">
        <v>4</v>
      </c>
      <c r="B36" s="31" t="s">
        <v>96</v>
      </c>
      <c r="C36" s="182">
        <f>SUM(C37:C39)</f>
        <v>54.353100000000005</v>
      </c>
      <c r="E36" s="27"/>
    </row>
    <row r="37" spans="1:5" ht="12.75">
      <c r="A37" s="472"/>
      <c r="B37" s="32" t="s">
        <v>97</v>
      </c>
      <c r="C37" s="183">
        <v>5</v>
      </c>
      <c r="E37" s="33"/>
    </row>
    <row r="38" spans="1:6" ht="12.75">
      <c r="A38" s="472"/>
      <c r="B38" s="32" t="s">
        <v>98</v>
      </c>
      <c r="C38" s="183">
        <v>11.38</v>
      </c>
      <c r="E38" s="27"/>
      <c r="F38" s="27"/>
    </row>
    <row r="39" spans="1:3" ht="12.75">
      <c r="A39" s="473"/>
      <c r="B39" s="189" t="s">
        <v>212</v>
      </c>
      <c r="C39" s="190">
        <v>37.9731</v>
      </c>
    </row>
    <row r="40" spans="1:3" ht="12.75">
      <c r="A40" s="191"/>
      <c r="B40" s="192" t="s">
        <v>99</v>
      </c>
      <c r="C40" s="193">
        <f>C10+C22+C33+C36</f>
        <v>185.52997</v>
      </c>
    </row>
    <row r="41" spans="1:4" ht="12.75">
      <c r="A41" s="191"/>
      <c r="B41" s="192" t="s">
        <v>100</v>
      </c>
      <c r="C41" s="194">
        <f>(C22+C33+C36)*0.24</f>
        <v>41.4266328</v>
      </c>
      <c r="D41" s="262"/>
    </row>
    <row r="42" spans="1:3" ht="12.75">
      <c r="A42" s="474" t="s">
        <v>101</v>
      </c>
      <c r="B42" s="475"/>
      <c r="C42" s="195">
        <f>+C40+C41</f>
        <v>226.95660279999998</v>
      </c>
    </row>
    <row r="43" ht="12.75"/>
    <row r="44" ht="12.75">
      <c r="B44" s="34" t="s">
        <v>67</v>
      </c>
    </row>
    <row r="45" ht="12.75"/>
    <row r="52" ht="12.75"/>
    <row r="53" ht="12.75"/>
    <row r="54" ht="12.75"/>
  </sheetData>
  <sheetProtection/>
  <mergeCells count="8">
    <mergeCell ref="A4:B4"/>
    <mergeCell ref="A5:B5"/>
    <mergeCell ref="A36:A39"/>
    <mergeCell ref="A42:B42"/>
    <mergeCell ref="A8:C8"/>
    <mergeCell ref="A10:A21"/>
    <mergeCell ref="A22:A32"/>
    <mergeCell ref="A33:A35"/>
  </mergeCells>
  <printOptions/>
  <pageMargins left="0.75" right="0.75" top="0.82" bottom="0.61" header="0.37" footer="0.5"/>
  <pageSetup blackAndWhite="1" fitToHeight="1" fitToWidth="1" horizontalDpi="600" verticalDpi="600" orientation="portrait" r:id="rId3"/>
  <headerFooter alignWithMargins="0">
    <oddHeader>&amp;L&amp;10                 SC PRO-EM SRL
Covasna, str Unirii, nr. 2, jud. Covasna
 - J14/45/2007; CUI:20882687 -</oddHeader>
  </headerFooter>
  <legacyDrawing r:id="rId2"/>
</worksheet>
</file>

<file path=xl/worksheets/sheet24.xml><?xml version="1.0" encoding="utf-8"?>
<worksheet xmlns="http://schemas.openxmlformats.org/spreadsheetml/2006/main" xmlns:r="http://schemas.openxmlformats.org/officeDocument/2006/relationships">
  <dimension ref="A3:E25"/>
  <sheetViews>
    <sheetView zoomScalePageLayoutView="0" workbookViewId="0" topLeftCell="A1">
      <selection activeCell="B7" sqref="B7"/>
    </sheetView>
  </sheetViews>
  <sheetFormatPr defaultColWidth="8.796875" defaultRowHeight="15"/>
  <cols>
    <col min="1" max="1" width="42.09765625" style="0" bestFit="1" customWidth="1"/>
    <col min="2" max="2" width="14.69921875" style="0" bestFit="1" customWidth="1"/>
    <col min="3" max="3" width="12.59765625" style="0" bestFit="1" customWidth="1"/>
  </cols>
  <sheetData>
    <row r="3" spans="1:3" ht="15.75">
      <c r="A3" t="s">
        <v>20</v>
      </c>
      <c r="B3" s="37">
        <v>0.06</v>
      </c>
      <c r="C3" s="1" t="s">
        <v>55</v>
      </c>
    </row>
    <row r="4" spans="2:3" ht="15.75">
      <c r="B4" s="38">
        <f>B3*('Deviz-general'!D20+'Deviz-general'!D39+'Deviz-general'!D43)</f>
        <v>76.86132617999999</v>
      </c>
      <c r="C4" t="s">
        <v>115</v>
      </c>
    </row>
    <row r="5" spans="1:5" ht="15.75">
      <c r="A5" s="1" t="s">
        <v>102</v>
      </c>
      <c r="B5" s="2">
        <f>E5</f>
        <v>0.30163413971944564</v>
      </c>
      <c r="C5" s="39">
        <f>B4*B5</f>
        <v>23.184</v>
      </c>
      <c r="E5" s="267">
        <f>23.184/B4</f>
        <v>0.30163413971944564</v>
      </c>
    </row>
    <row r="6" spans="1:3" ht="15.75">
      <c r="A6" s="1" t="s">
        <v>106</v>
      </c>
      <c r="B6" s="2">
        <f>100%-B5-B7-B8</f>
        <v>0.44836586028055436</v>
      </c>
      <c r="C6" s="39">
        <f>B4*B6</f>
        <v>34.46199463499999</v>
      </c>
    </row>
    <row r="7" spans="1:3" ht="15.75">
      <c r="A7" s="1" t="s">
        <v>103</v>
      </c>
      <c r="B7" s="2">
        <v>0.2</v>
      </c>
      <c r="C7" s="39">
        <f>B4*B7</f>
        <v>15.372265235999999</v>
      </c>
    </row>
    <row r="8" spans="1:3" ht="15.75">
      <c r="A8" s="1" t="s">
        <v>104</v>
      </c>
      <c r="B8" s="35">
        <v>0.05</v>
      </c>
      <c r="C8" s="40">
        <f>B4*B8</f>
        <v>3.8430663089999997</v>
      </c>
    </row>
    <row r="9" spans="2:3" ht="15.75">
      <c r="B9" s="2"/>
      <c r="C9" s="36">
        <f>SUM(C5:C8)</f>
        <v>76.86132617999999</v>
      </c>
    </row>
    <row r="10" spans="2:3" ht="15.75">
      <c r="B10" s="2"/>
      <c r="C10" s="1"/>
    </row>
    <row r="11" spans="1:3" ht="15.75">
      <c r="A11" t="s">
        <v>105</v>
      </c>
      <c r="B11" s="2">
        <v>0</v>
      </c>
      <c r="C11" s="39">
        <f>C9*B11</f>
        <v>0</v>
      </c>
    </row>
    <row r="12" spans="2:3" ht="15.75">
      <c r="B12" s="2"/>
      <c r="C12" s="1"/>
    </row>
    <row r="13" spans="1:3" ht="15.75">
      <c r="A13" t="s">
        <v>210</v>
      </c>
      <c r="B13" s="2">
        <v>0.012</v>
      </c>
      <c r="C13" s="41">
        <f>B13*('Deviz-general'!D16+'Deviz-general'!D20+'Deviz-general'!D39)</f>
        <v>15.01753056</v>
      </c>
    </row>
    <row r="14" spans="1:2" ht="15.75">
      <c r="A14" s="1" t="s">
        <v>111</v>
      </c>
      <c r="B14" s="2"/>
    </row>
    <row r="15" ht="15.75">
      <c r="B15" s="2"/>
    </row>
    <row r="16" spans="1:3" ht="15.75">
      <c r="A16" t="s">
        <v>108</v>
      </c>
      <c r="B16" s="2">
        <v>0.03</v>
      </c>
      <c r="C16" s="41">
        <f>B16*('Deviz-general'!D16+'Deviz-general'!D20+'Deviz-general'!D33+'Deviz-general'!D34+'Deviz-general'!D43+'Deviz-general'!D48)</f>
        <v>37.973148089999995</v>
      </c>
    </row>
    <row r="17" ht="15.75">
      <c r="B17" s="3"/>
    </row>
    <row r="18" spans="1:2" ht="15.75">
      <c r="A18" t="s">
        <v>36</v>
      </c>
      <c r="B18" s="3"/>
    </row>
    <row r="19" spans="1:2" ht="15.75">
      <c r="A19" t="s">
        <v>38</v>
      </c>
      <c r="B19" s="37">
        <v>0.025</v>
      </c>
    </row>
    <row r="20" ht="15.75">
      <c r="B20" s="3"/>
    </row>
    <row r="21" spans="1:3" ht="15.75">
      <c r="A21" t="s">
        <v>43</v>
      </c>
      <c r="B21" s="2">
        <v>0.013</v>
      </c>
      <c r="C21" s="1" t="s">
        <v>107</v>
      </c>
    </row>
    <row r="22" spans="1:3" ht="15.75">
      <c r="A22" s="1" t="s">
        <v>110</v>
      </c>
      <c r="B22" s="3"/>
      <c r="C22" s="41">
        <f>B21*('Deviz-general'!D14+'Deviz-general'!D15+'Deviz-general'!D33+'Deviz-general'!D34+'Deviz-general'!D35+'Deviz-general'!D43+'Deviz-general'!D48)</f>
        <v>16.507353758999997</v>
      </c>
    </row>
    <row r="23" ht="15.75">
      <c r="B23" s="3"/>
    </row>
    <row r="24" spans="1:3" ht="15.75">
      <c r="A24" t="s">
        <v>109</v>
      </c>
      <c r="B24" s="37">
        <v>0.15</v>
      </c>
      <c r="C24" s="1" t="s">
        <v>56</v>
      </c>
    </row>
    <row r="25" spans="2:3" ht="15.75">
      <c r="B25" s="42">
        <v>0.05</v>
      </c>
      <c r="C25" s="1" t="s">
        <v>57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F39"/>
  <sheetViews>
    <sheetView zoomScalePageLayoutView="0" workbookViewId="0" topLeftCell="A12">
      <selection activeCell="D23" sqref="D23"/>
    </sheetView>
  </sheetViews>
  <sheetFormatPr defaultColWidth="8" defaultRowHeight="15"/>
  <cols>
    <col min="1" max="1" width="4.09765625" style="4" customWidth="1"/>
    <col min="2" max="2" width="7.09765625" style="4" customWidth="1"/>
    <col min="3" max="3" width="29.19921875" style="4" bestFit="1" customWidth="1"/>
    <col min="4" max="4" width="18.69921875" style="20" customWidth="1"/>
    <col min="5" max="5" width="18.3984375" style="23" customWidth="1"/>
    <col min="6" max="6" width="10.19921875" style="4" bestFit="1" customWidth="1"/>
    <col min="7" max="7" width="8.8984375" style="4" bestFit="1" customWidth="1"/>
    <col min="8" max="8" width="9.8984375" style="4" bestFit="1" customWidth="1"/>
    <col min="9" max="9" width="11.19921875" style="4" bestFit="1" customWidth="1"/>
    <col min="10" max="16384" width="8" style="4" customWidth="1"/>
  </cols>
  <sheetData>
    <row r="2" spans="1:5" ht="12.75">
      <c r="A2" s="417" t="s">
        <v>123</v>
      </c>
      <c r="B2" s="417"/>
      <c r="C2" s="47"/>
      <c r="E2" s="176" t="s">
        <v>206</v>
      </c>
    </row>
    <row r="3" spans="1:4" ht="12.75">
      <c r="A3" s="405" t="s">
        <v>232</v>
      </c>
      <c r="B3" s="405"/>
      <c r="C3" s="405"/>
      <c r="D3" s="405"/>
    </row>
    <row r="4" spans="1:3" ht="12.75">
      <c r="A4" s="405" t="s">
        <v>333</v>
      </c>
      <c r="B4" s="405"/>
      <c r="C4" s="405"/>
    </row>
    <row r="6" spans="1:6" ht="15.75">
      <c r="A6" s="410" t="s">
        <v>124</v>
      </c>
      <c r="B6" s="410"/>
      <c r="C6" s="410"/>
      <c r="D6" s="410"/>
      <c r="E6" s="410"/>
      <c r="F6" s="49"/>
    </row>
    <row r="7" spans="1:6" ht="15.75">
      <c r="A7" s="410" t="s">
        <v>125</v>
      </c>
      <c r="B7" s="410"/>
      <c r="C7" s="410"/>
      <c r="D7" s="410"/>
      <c r="E7" s="410"/>
      <c r="F7" s="49"/>
    </row>
    <row r="8" spans="1:5" ht="15.75">
      <c r="A8" s="48"/>
      <c r="B8" s="48"/>
      <c r="C8" s="48"/>
      <c r="D8" s="48"/>
      <c r="E8" s="48"/>
    </row>
    <row r="9" spans="1:4" ht="13.5" thickBot="1">
      <c r="A9" s="5"/>
      <c r="B9" s="5"/>
      <c r="C9" s="5"/>
      <c r="D9" s="24"/>
    </row>
    <row r="10" spans="1:6" ht="51" customHeight="1">
      <c r="A10" s="413" t="s">
        <v>3</v>
      </c>
      <c r="B10" s="415" t="s">
        <v>126</v>
      </c>
      <c r="C10" s="415" t="s">
        <v>127</v>
      </c>
      <c r="D10" s="411" t="s">
        <v>128</v>
      </c>
      <c r="E10" s="412"/>
      <c r="F10" s="6"/>
    </row>
    <row r="11" spans="1:5" ht="12.75">
      <c r="A11" s="414"/>
      <c r="B11" s="416"/>
      <c r="C11" s="416"/>
      <c r="D11" s="7" t="s">
        <v>115</v>
      </c>
      <c r="E11" s="8" t="s">
        <v>129</v>
      </c>
    </row>
    <row r="12" spans="1:5" ht="12.75">
      <c r="A12" s="52">
        <v>0</v>
      </c>
      <c r="B12" s="53">
        <v>1</v>
      </c>
      <c r="C12" s="54">
        <v>2</v>
      </c>
      <c r="D12" s="54">
        <v>3</v>
      </c>
      <c r="E12" s="55">
        <v>4</v>
      </c>
    </row>
    <row r="13" spans="1:5" ht="12.75">
      <c r="A13" s="12">
        <v>1</v>
      </c>
      <c r="B13" s="56">
        <v>1.2</v>
      </c>
      <c r="C13" s="17" t="s">
        <v>9</v>
      </c>
      <c r="D13" s="14">
        <f>SUM(D14)</f>
        <v>0</v>
      </c>
      <c r="E13" s="43">
        <f aca="true" t="shared" si="0" ref="E13:E28">D13/$D$34</f>
        <v>0</v>
      </c>
    </row>
    <row r="14" spans="1:5" ht="12.75">
      <c r="A14" s="12"/>
      <c r="B14" s="56"/>
      <c r="C14" s="17" t="s">
        <v>130</v>
      </c>
      <c r="D14" s="14">
        <v>0</v>
      </c>
      <c r="E14" s="43">
        <f t="shared" si="0"/>
        <v>0</v>
      </c>
    </row>
    <row r="15" spans="1:5" ht="25.5">
      <c r="A15" s="15">
        <v>2</v>
      </c>
      <c r="B15" s="57">
        <v>1.3</v>
      </c>
      <c r="C15" s="17" t="s">
        <v>131</v>
      </c>
      <c r="D15" s="14">
        <f>SUM(D16)</f>
        <v>0</v>
      </c>
      <c r="E15" s="43">
        <f t="shared" si="0"/>
        <v>0</v>
      </c>
    </row>
    <row r="16" spans="1:5" ht="12.75">
      <c r="A16" s="15"/>
      <c r="B16" s="57"/>
      <c r="C16" s="17" t="s">
        <v>132</v>
      </c>
      <c r="D16" s="14">
        <v>0</v>
      </c>
      <c r="E16" s="43">
        <f t="shared" si="0"/>
        <v>0</v>
      </c>
    </row>
    <row r="17" spans="1:5" ht="25.5">
      <c r="A17" s="15">
        <v>3</v>
      </c>
      <c r="B17" s="57">
        <v>2</v>
      </c>
      <c r="C17" s="17" t="s">
        <v>133</v>
      </c>
      <c r="D17" s="14">
        <f>SUM(D18)</f>
        <v>11.46146</v>
      </c>
      <c r="E17" s="43">
        <f t="shared" si="0"/>
        <v>2.678662241750023</v>
      </c>
    </row>
    <row r="18" spans="1:5" ht="12.75">
      <c r="A18" s="15"/>
      <c r="B18" s="57"/>
      <c r="C18" s="268" t="s">
        <v>325</v>
      </c>
      <c r="D18" s="14">
        <v>11.46146</v>
      </c>
      <c r="E18" s="43">
        <f t="shared" si="0"/>
        <v>2.678662241750023</v>
      </c>
    </row>
    <row r="19" spans="1:5" ht="12.75">
      <c r="A19" s="12">
        <v>4</v>
      </c>
      <c r="B19" s="56">
        <v>3.1</v>
      </c>
      <c r="C19" s="17" t="s">
        <v>134</v>
      </c>
      <c r="D19" s="16">
        <f>SUM(D20)</f>
        <v>0</v>
      </c>
      <c r="E19" s="43">
        <f t="shared" si="0"/>
        <v>0</v>
      </c>
    </row>
    <row r="20" spans="1:5" ht="12.75">
      <c r="A20" s="15"/>
      <c r="B20" s="57"/>
      <c r="C20" s="17" t="s">
        <v>135</v>
      </c>
      <c r="D20" s="14">
        <v>0</v>
      </c>
      <c r="E20" s="43">
        <f t="shared" si="0"/>
        <v>0</v>
      </c>
    </row>
    <row r="21" spans="1:5" ht="38.25">
      <c r="A21" s="15">
        <v>5</v>
      </c>
      <c r="B21" s="57">
        <v>3.3</v>
      </c>
      <c r="C21" s="17" t="s">
        <v>136</v>
      </c>
      <c r="D21" s="14">
        <f>'deviz financiar'!C22</f>
        <v>75.86686999999999</v>
      </c>
      <c r="E21" s="43">
        <f t="shared" si="0"/>
        <v>17.730875479106288</v>
      </c>
    </row>
    <row r="22" spans="1:5" ht="12.75">
      <c r="A22" s="12">
        <v>6</v>
      </c>
      <c r="B22" s="56">
        <v>4</v>
      </c>
      <c r="C22" s="17" t="s">
        <v>137</v>
      </c>
      <c r="D22" s="338">
        <f>SUM(D23:D27)</f>
        <v>1239.99942</v>
      </c>
      <c r="E22" s="43">
        <f t="shared" si="0"/>
        <v>289.80074319902775</v>
      </c>
    </row>
    <row r="23" spans="1:5" ht="12.75">
      <c r="A23" s="15"/>
      <c r="B23" s="57"/>
      <c r="C23" s="17" t="s">
        <v>138</v>
      </c>
      <c r="D23" s="14">
        <f>'F2'!D22</f>
        <v>1182.44892</v>
      </c>
      <c r="E23" s="43">
        <f t="shared" si="0"/>
        <v>276.3505936243807</v>
      </c>
    </row>
    <row r="24" spans="1:5" ht="12.75">
      <c r="A24" s="15"/>
      <c r="B24" s="57"/>
      <c r="C24" s="17" t="s">
        <v>139</v>
      </c>
      <c r="D24" s="14">
        <f>'F2'!D25</f>
        <v>0</v>
      </c>
      <c r="E24" s="43">
        <f t="shared" si="0"/>
        <v>0</v>
      </c>
    </row>
    <row r="25" spans="1:5" ht="25.5">
      <c r="A25" s="15"/>
      <c r="B25" s="57"/>
      <c r="C25" s="17" t="s">
        <v>140</v>
      </c>
      <c r="D25" s="14">
        <f>'F2'!D27</f>
        <v>15.4863</v>
      </c>
      <c r="E25" s="43">
        <f t="shared" si="0"/>
        <v>3.619309152098719</v>
      </c>
    </row>
    <row r="26" spans="1:5" ht="25.5">
      <c r="A26" s="15"/>
      <c r="B26" s="57"/>
      <c r="C26" s="17" t="s">
        <v>141</v>
      </c>
      <c r="D26" s="14">
        <f>'F2'!D28</f>
        <v>0</v>
      </c>
      <c r="E26" s="43">
        <f t="shared" si="0"/>
        <v>0</v>
      </c>
    </row>
    <row r="27" spans="1:5" ht="12.75">
      <c r="A27" s="15"/>
      <c r="B27" s="57"/>
      <c r="C27" s="17" t="s">
        <v>142</v>
      </c>
      <c r="D27" s="14">
        <f>'F2'!D29</f>
        <v>42.0642</v>
      </c>
      <c r="E27" s="43">
        <f t="shared" si="0"/>
        <v>9.830840422548377</v>
      </c>
    </row>
    <row r="28" spans="1:5" ht="12.75">
      <c r="A28" s="15">
        <v>7</v>
      </c>
      <c r="B28" s="57">
        <v>5.1</v>
      </c>
      <c r="C28" s="17" t="s">
        <v>36</v>
      </c>
      <c r="D28" s="14">
        <f>'Deviz-general'!D43</f>
        <v>29.561223000000002</v>
      </c>
      <c r="E28" s="43">
        <f t="shared" si="0"/>
        <v>6.908764840609517</v>
      </c>
    </row>
    <row r="29" spans="1:5" ht="12.75">
      <c r="A29" s="12"/>
      <c r="B29" s="56"/>
      <c r="C29" s="17"/>
      <c r="D29" s="14"/>
      <c r="E29" s="43"/>
    </row>
    <row r="30" spans="1:5" ht="15.75" customHeight="1">
      <c r="A30" s="402" t="s">
        <v>143</v>
      </c>
      <c r="B30" s="403"/>
      <c r="C30" s="404"/>
      <c r="D30" s="10">
        <f>D13+D15+D17+D19+D21+D22+D28</f>
        <v>1356.888973</v>
      </c>
      <c r="E30" s="58">
        <f>D30/$D$34</f>
        <v>317.1190457604936</v>
      </c>
    </row>
    <row r="31" spans="1:5" ht="15.75" customHeight="1">
      <c r="A31" s="402" t="s">
        <v>327</v>
      </c>
      <c r="B31" s="403"/>
      <c r="C31" s="404"/>
      <c r="D31" s="18">
        <f>D30*0.24</f>
        <v>325.65335352</v>
      </c>
      <c r="E31" s="43">
        <f>D31/$D$34</f>
        <v>76.10857098251846</v>
      </c>
    </row>
    <row r="32" spans="1:5" ht="15.75" customHeight="1" thickBot="1">
      <c r="A32" s="406" t="s">
        <v>144</v>
      </c>
      <c r="B32" s="407"/>
      <c r="C32" s="408"/>
      <c r="D32" s="59">
        <f>SUM(D30:D31)</f>
        <v>1682.5423265200002</v>
      </c>
      <c r="E32" s="60">
        <f>D32/$D$34</f>
        <v>393.22761674301205</v>
      </c>
    </row>
    <row r="34" spans="3:5" ht="12.75">
      <c r="C34" s="61" t="s">
        <v>145</v>
      </c>
      <c r="D34" s="62">
        <f>'Deviz-general'!D6</f>
        <v>4.2788</v>
      </c>
      <c r="E34" s="63" t="s">
        <v>146</v>
      </c>
    </row>
    <row r="35" spans="3:4" ht="12.75">
      <c r="C35" s="61" t="s">
        <v>2</v>
      </c>
      <c r="D35" s="64" t="str">
        <f>'Deviz-general'!G6</f>
        <v>01-31.12.2009</v>
      </c>
    </row>
    <row r="37" ht="15">
      <c r="D37" s="65" t="s">
        <v>67</v>
      </c>
    </row>
    <row r="39" spans="4:5" ht="12.75">
      <c r="D39" s="409"/>
      <c r="E39" s="409"/>
    </row>
  </sheetData>
  <sheetProtection/>
  <mergeCells count="13">
    <mergeCell ref="A30:C30"/>
    <mergeCell ref="A2:B2"/>
    <mergeCell ref="A4:C4"/>
    <mergeCell ref="A31:C31"/>
    <mergeCell ref="A3:D3"/>
    <mergeCell ref="A32:C32"/>
    <mergeCell ref="D39:E39"/>
    <mergeCell ref="A6:E6"/>
    <mergeCell ref="A7:E7"/>
    <mergeCell ref="D10:E10"/>
    <mergeCell ref="A10:A11"/>
    <mergeCell ref="B10:B11"/>
    <mergeCell ref="C10:C11"/>
  </mergeCells>
  <printOptions/>
  <pageMargins left="0.75" right="0.75" top="1" bottom="1" header="0.5" footer="0.5"/>
  <pageSetup blackAndWhite="1" horizontalDpi="300" verticalDpi="300" orientation="portrait" paperSize="9" r:id="rId1"/>
  <headerFooter alignWithMargins="0">
    <oddHeader>&amp;LFORMULAR F1&amp;R&amp;10                 SC PRO-EM SRL
Covasna, str Unirii, nr. 2, jud. Covasna
 - J14/45/2007; CUI:20882687 -</oddHeader>
  </headerFooter>
</worksheet>
</file>

<file path=xl/worksheets/sheet4.xml><?xml version="1.0" encoding="utf-8"?>
<worksheet xmlns="http://schemas.openxmlformats.org/spreadsheetml/2006/main" xmlns:r="http://schemas.openxmlformats.org/officeDocument/2006/relationships">
  <dimension ref="A2:G40"/>
  <sheetViews>
    <sheetView zoomScalePageLayoutView="0" workbookViewId="0" topLeftCell="A3">
      <selection activeCell="G19" sqref="G19"/>
    </sheetView>
  </sheetViews>
  <sheetFormatPr defaultColWidth="8" defaultRowHeight="15"/>
  <cols>
    <col min="1" max="1" width="4.09765625" style="4" customWidth="1"/>
    <col min="2" max="2" width="7.59765625" style="4" customWidth="1"/>
    <col min="3" max="3" width="29.19921875" style="4" bestFit="1" customWidth="1"/>
    <col min="4" max="4" width="18.69921875" style="20" customWidth="1"/>
    <col min="5" max="5" width="18.3984375" style="23" customWidth="1"/>
    <col min="6" max="6" width="10.19921875" style="4" bestFit="1" customWidth="1"/>
    <col min="7" max="7" width="8.8984375" style="4" bestFit="1" customWidth="1"/>
    <col min="8" max="8" width="9.8984375" style="4" bestFit="1" customWidth="1"/>
    <col min="9" max="9" width="11.19921875" style="4" bestFit="1" customWidth="1"/>
    <col min="10" max="16384" width="8" style="4" customWidth="1"/>
  </cols>
  <sheetData>
    <row r="2" spans="1:6" ht="12.75">
      <c r="A2" s="417" t="s">
        <v>123</v>
      </c>
      <c r="B2" s="417"/>
      <c r="C2" s="417"/>
      <c r="D2" s="47"/>
      <c r="E2" s="176" t="s">
        <v>206</v>
      </c>
      <c r="F2" s="23"/>
    </row>
    <row r="3" spans="1:6" ht="12.75">
      <c r="A3" s="405" t="s">
        <v>232</v>
      </c>
      <c r="B3" s="405"/>
      <c r="C3" s="405"/>
      <c r="D3" s="405"/>
      <c r="E3" s="20"/>
      <c r="F3" s="23"/>
    </row>
    <row r="4" spans="1:6" ht="12.75">
      <c r="A4" s="405" t="s">
        <v>333</v>
      </c>
      <c r="B4" s="405"/>
      <c r="C4" s="405"/>
      <c r="D4" s="405"/>
      <c r="E4" s="20"/>
      <c r="F4" s="23"/>
    </row>
    <row r="5" spans="1:6" ht="12.75">
      <c r="A5" s="70"/>
      <c r="B5" s="70"/>
      <c r="C5" s="70"/>
      <c r="D5" s="70"/>
      <c r="E5" s="20"/>
      <c r="F5" s="23"/>
    </row>
    <row r="6" spans="1:5" ht="15.75">
      <c r="A6" s="410" t="s">
        <v>161</v>
      </c>
      <c r="B6" s="410"/>
      <c r="C6" s="410"/>
      <c r="D6" s="410"/>
      <c r="E6" s="410"/>
    </row>
    <row r="7" spans="1:5" ht="15.75">
      <c r="A7" s="410" t="s">
        <v>192</v>
      </c>
      <c r="B7" s="410"/>
      <c r="C7" s="410"/>
      <c r="D7" s="410"/>
      <c r="E7" s="410"/>
    </row>
    <row r="8" spans="1:5" ht="13.5" thickBot="1">
      <c r="A8" s="5"/>
      <c r="B8" s="5"/>
      <c r="C8" s="5"/>
      <c r="D8" s="24"/>
      <c r="E8" s="4"/>
    </row>
    <row r="9" spans="1:6" ht="46.5" customHeight="1">
      <c r="A9" s="413" t="s">
        <v>3</v>
      </c>
      <c r="B9" s="415" t="s">
        <v>147</v>
      </c>
      <c r="C9" s="415" t="s">
        <v>148</v>
      </c>
      <c r="D9" s="411" t="s">
        <v>149</v>
      </c>
      <c r="E9" s="412"/>
      <c r="F9" s="6"/>
    </row>
    <row r="10" spans="1:5" ht="14.25" customHeight="1">
      <c r="A10" s="414"/>
      <c r="B10" s="416"/>
      <c r="C10" s="416"/>
      <c r="D10" s="7" t="s">
        <v>115</v>
      </c>
      <c r="E10" s="8" t="s">
        <v>129</v>
      </c>
    </row>
    <row r="11" spans="1:5" ht="14.25" customHeight="1">
      <c r="A11" s="50">
        <v>0</v>
      </c>
      <c r="B11" s="66">
        <v>1</v>
      </c>
      <c r="C11" s="51">
        <v>2</v>
      </c>
      <c r="D11" s="67">
        <v>3</v>
      </c>
      <c r="E11" s="8">
        <v>4</v>
      </c>
    </row>
    <row r="12" spans="1:5" ht="12.75">
      <c r="A12" s="68">
        <v>1</v>
      </c>
      <c r="B12" s="69" t="s">
        <v>150</v>
      </c>
      <c r="C12" s="9" t="s">
        <v>151</v>
      </c>
      <c r="D12" s="10"/>
      <c r="E12" s="11"/>
    </row>
    <row r="13" spans="1:5" ht="12.75">
      <c r="A13" s="68">
        <f>A12+1</f>
        <v>2</v>
      </c>
      <c r="B13" s="56">
        <v>1</v>
      </c>
      <c r="C13" s="13" t="s">
        <v>58</v>
      </c>
      <c r="D13" s="295">
        <v>0</v>
      </c>
      <c r="E13" s="71">
        <f>D13/$D$35</f>
        <v>0</v>
      </c>
    </row>
    <row r="14" spans="1:5" ht="38.25">
      <c r="A14" s="68">
        <f aca="true" t="shared" si="0" ref="A14:A29">A13+1</f>
        <v>3</v>
      </c>
      <c r="B14" s="57">
        <v>2</v>
      </c>
      <c r="C14" s="17" t="s">
        <v>121</v>
      </c>
      <c r="D14" s="295">
        <f>531.0499+442.49108</f>
        <v>973.54098</v>
      </c>
      <c r="E14" s="71">
        <f aca="true" t="shared" si="1" ref="E14:E33">D14/$D$35</f>
        <v>227.52663830980646</v>
      </c>
    </row>
    <row r="15" spans="1:5" ht="12.75">
      <c r="A15" s="68">
        <f t="shared" si="0"/>
        <v>4</v>
      </c>
      <c r="B15" s="56">
        <v>3</v>
      </c>
      <c r="C15" s="17" t="s">
        <v>285</v>
      </c>
      <c r="D15" s="295">
        <v>57.98855</v>
      </c>
      <c r="E15" s="71">
        <f t="shared" si="1"/>
        <v>13.552526409273627</v>
      </c>
    </row>
    <row r="16" spans="1:5" ht="12.75">
      <c r="A16" s="68">
        <f t="shared" si="0"/>
        <v>5</v>
      </c>
      <c r="B16" s="56">
        <v>4</v>
      </c>
      <c r="C16" s="13" t="s">
        <v>59</v>
      </c>
      <c r="D16" s="295">
        <v>65.49875</v>
      </c>
      <c r="E16" s="71">
        <f t="shared" si="1"/>
        <v>15.307738150883424</v>
      </c>
    </row>
    <row r="17" spans="1:5" ht="12.75">
      <c r="A17" s="68">
        <f t="shared" si="0"/>
        <v>6</v>
      </c>
      <c r="B17" s="56">
        <v>5</v>
      </c>
      <c r="C17" s="13" t="s">
        <v>60</v>
      </c>
      <c r="D17" s="295">
        <v>40.8912</v>
      </c>
      <c r="E17" s="71">
        <f t="shared" si="1"/>
        <v>9.556698139665325</v>
      </c>
    </row>
    <row r="18" spans="1:5" ht="12.75">
      <c r="A18" s="68">
        <f t="shared" si="0"/>
        <v>7</v>
      </c>
      <c r="B18" s="56">
        <v>6</v>
      </c>
      <c r="C18" s="13" t="s">
        <v>61</v>
      </c>
      <c r="D18" s="295">
        <v>35.96453</v>
      </c>
      <c r="E18" s="71">
        <f t="shared" si="1"/>
        <v>8.405284191829486</v>
      </c>
    </row>
    <row r="19" spans="1:7" ht="12.75">
      <c r="A19" s="68">
        <f t="shared" si="0"/>
        <v>8</v>
      </c>
      <c r="B19" s="57">
        <v>7</v>
      </c>
      <c r="C19" s="17" t="s">
        <v>152</v>
      </c>
      <c r="D19" s="295">
        <v>0</v>
      </c>
      <c r="E19" s="71">
        <f t="shared" si="1"/>
        <v>0</v>
      </c>
      <c r="G19" s="20">
        <f>D14+D21</f>
        <v>982.10589</v>
      </c>
    </row>
    <row r="20" spans="1:5" ht="12.75">
      <c r="A20" s="68">
        <f t="shared" si="0"/>
        <v>9</v>
      </c>
      <c r="B20" s="57">
        <v>8</v>
      </c>
      <c r="C20" s="17" t="s">
        <v>62</v>
      </c>
      <c r="D20" s="295">
        <v>0</v>
      </c>
      <c r="E20" s="71">
        <f t="shared" si="1"/>
        <v>0</v>
      </c>
    </row>
    <row r="21" spans="1:5" ht="12.75">
      <c r="A21" s="68">
        <f t="shared" si="0"/>
        <v>10</v>
      </c>
      <c r="B21" s="56">
        <v>9</v>
      </c>
      <c r="C21" s="296" t="s">
        <v>326</v>
      </c>
      <c r="D21" s="297">
        <v>8.56491</v>
      </c>
      <c r="E21" s="71">
        <f t="shared" si="1"/>
        <v>2.0017084229223143</v>
      </c>
    </row>
    <row r="22" spans="1:5" ht="12.75">
      <c r="A22" s="68">
        <f t="shared" si="0"/>
        <v>11</v>
      </c>
      <c r="B22" s="69"/>
      <c r="C22" s="9" t="s">
        <v>153</v>
      </c>
      <c r="D22" s="10">
        <f>SUM(D13:D21)</f>
        <v>1182.44892</v>
      </c>
      <c r="E22" s="71">
        <f t="shared" si="1"/>
        <v>276.3505936243807</v>
      </c>
    </row>
    <row r="23" spans="1:5" ht="12.75">
      <c r="A23" s="68">
        <f t="shared" si="0"/>
        <v>12</v>
      </c>
      <c r="B23" s="69" t="s">
        <v>154</v>
      </c>
      <c r="C23" s="9" t="s">
        <v>155</v>
      </c>
      <c r="D23" s="14"/>
      <c r="E23" s="71"/>
    </row>
    <row r="24" spans="1:5" ht="25.5">
      <c r="A24" s="68">
        <f t="shared" si="0"/>
        <v>13</v>
      </c>
      <c r="B24" s="57">
        <v>1</v>
      </c>
      <c r="C24" s="17" t="s">
        <v>63</v>
      </c>
      <c r="D24" s="14">
        <v>0</v>
      </c>
      <c r="E24" s="71">
        <f t="shared" si="1"/>
        <v>0</v>
      </c>
    </row>
    <row r="25" spans="1:5" s="19" customFormat="1" ht="12.75">
      <c r="A25" s="68">
        <f t="shared" si="0"/>
        <v>14</v>
      </c>
      <c r="B25" s="69"/>
      <c r="C25" s="9" t="s">
        <v>156</v>
      </c>
      <c r="D25" s="10">
        <f>D24</f>
        <v>0</v>
      </c>
      <c r="E25" s="71">
        <f t="shared" si="1"/>
        <v>0</v>
      </c>
    </row>
    <row r="26" spans="1:5" ht="12.75">
      <c r="A26" s="68">
        <f t="shared" si="0"/>
        <v>15</v>
      </c>
      <c r="B26" s="69" t="s">
        <v>157</v>
      </c>
      <c r="C26" s="9" t="s">
        <v>158</v>
      </c>
      <c r="D26" s="14"/>
      <c r="E26" s="71"/>
    </row>
    <row r="27" spans="1:5" ht="12.75">
      <c r="A27" s="68">
        <f t="shared" si="0"/>
        <v>16</v>
      </c>
      <c r="B27" s="56">
        <v>1</v>
      </c>
      <c r="C27" s="13" t="s">
        <v>64</v>
      </c>
      <c r="D27" s="14">
        <f>'F4-U'!F15</f>
        <v>15.4863</v>
      </c>
      <c r="E27" s="71">
        <f t="shared" si="1"/>
        <v>3.619309152098719</v>
      </c>
    </row>
    <row r="28" spans="1:5" ht="12.75">
      <c r="A28" s="68">
        <f t="shared" si="0"/>
        <v>17</v>
      </c>
      <c r="B28" s="56">
        <v>2</v>
      </c>
      <c r="C28" s="17" t="s">
        <v>65</v>
      </c>
      <c r="D28" s="14">
        <v>0</v>
      </c>
      <c r="E28" s="71">
        <f t="shared" si="1"/>
        <v>0</v>
      </c>
    </row>
    <row r="29" spans="1:5" ht="12.75">
      <c r="A29" s="68">
        <f t="shared" si="0"/>
        <v>18</v>
      </c>
      <c r="B29" s="56">
        <v>3</v>
      </c>
      <c r="C29" s="13" t="s">
        <v>66</v>
      </c>
      <c r="D29" s="14">
        <f>'F4-D'!F19</f>
        <v>42.0642</v>
      </c>
      <c r="E29" s="71">
        <f t="shared" si="1"/>
        <v>9.830840422548377</v>
      </c>
    </row>
    <row r="30" spans="1:6" ht="12.75">
      <c r="A30" s="68"/>
      <c r="B30" s="69"/>
      <c r="C30" s="9" t="s">
        <v>159</v>
      </c>
      <c r="D30" s="10">
        <f>SUM(D27:D29)</f>
        <v>57.5505</v>
      </c>
      <c r="E30" s="71">
        <f t="shared" si="1"/>
        <v>13.450149574647096</v>
      </c>
      <c r="F30" s="20"/>
    </row>
    <row r="31" spans="1:5" ht="15.75" customHeight="1">
      <c r="A31" s="418" t="s">
        <v>160</v>
      </c>
      <c r="B31" s="419"/>
      <c r="C31" s="420"/>
      <c r="D31" s="21">
        <f>+D22+D25+D30</f>
        <v>1239.99942</v>
      </c>
      <c r="E31" s="73">
        <f t="shared" si="1"/>
        <v>289.80074319902775</v>
      </c>
    </row>
    <row r="32" spans="1:5" ht="15.75" customHeight="1">
      <c r="A32" s="418" t="s">
        <v>327</v>
      </c>
      <c r="B32" s="419"/>
      <c r="C32" s="420"/>
      <c r="D32" s="22">
        <f>+D31*0.24</f>
        <v>297.5998608</v>
      </c>
      <c r="E32" s="72">
        <f t="shared" si="1"/>
        <v>69.55217836776666</v>
      </c>
    </row>
    <row r="33" spans="1:5" ht="15.75" customHeight="1" thickBot="1">
      <c r="A33" s="406" t="s">
        <v>144</v>
      </c>
      <c r="B33" s="407"/>
      <c r="C33" s="408"/>
      <c r="D33" s="59">
        <f>+D31+D32</f>
        <v>1537.5992808</v>
      </c>
      <c r="E33" s="74">
        <f t="shared" si="1"/>
        <v>359.3529215667944</v>
      </c>
    </row>
    <row r="35" spans="3:5" ht="12.75">
      <c r="C35" s="61" t="s">
        <v>145</v>
      </c>
      <c r="D35" s="62">
        <f>'Deviz-general'!D6</f>
        <v>4.2788</v>
      </c>
      <c r="E35" s="63" t="s">
        <v>146</v>
      </c>
    </row>
    <row r="36" spans="3:4" ht="12.75">
      <c r="C36" s="61" t="s">
        <v>2</v>
      </c>
      <c r="D36" s="64" t="str">
        <f>'Deviz-general'!G6</f>
        <v>01-31.12.2009</v>
      </c>
    </row>
    <row r="38" ht="15">
      <c r="D38" s="65" t="s">
        <v>67</v>
      </c>
    </row>
    <row r="40" spans="4:5" ht="12.75">
      <c r="D40" s="409"/>
      <c r="E40" s="409"/>
    </row>
  </sheetData>
  <sheetProtection/>
  <mergeCells count="13">
    <mergeCell ref="A7:E7"/>
    <mergeCell ref="D9:E9"/>
    <mergeCell ref="A6:E6"/>
    <mergeCell ref="D40:E40"/>
    <mergeCell ref="A31:C31"/>
    <mergeCell ref="A32:C32"/>
    <mergeCell ref="A33:C33"/>
    <mergeCell ref="A2:C2"/>
    <mergeCell ref="A3:D3"/>
    <mergeCell ref="A4:D4"/>
    <mergeCell ref="A9:A10"/>
    <mergeCell ref="B9:B10"/>
    <mergeCell ref="C9:C10"/>
  </mergeCells>
  <printOptions/>
  <pageMargins left="0.75" right="0.75" top="1" bottom="1" header="0.5" footer="0.5"/>
  <pageSetup blackAndWhite="1" horizontalDpi="300" verticalDpi="300" orientation="portrait" paperSize="9" r:id="rId1"/>
  <headerFooter alignWithMargins="0">
    <oddHeader>&amp;LFORMULAR F2&amp;R&amp;10                 SC PRO-EM SRL
Covasna, str Unirii, nr. 2, jud. Covasna
 - J14/45/2007; CUI:20882687 -</oddHeader>
  </headerFooter>
</worksheet>
</file>

<file path=xl/worksheets/sheet5.xml><?xml version="1.0" encoding="utf-8"?>
<worksheet xmlns="http://schemas.openxmlformats.org/spreadsheetml/2006/main" xmlns:r="http://schemas.openxmlformats.org/officeDocument/2006/relationships">
  <dimension ref="A1:H28"/>
  <sheetViews>
    <sheetView zoomScale="90" zoomScaleNormal="90" zoomScalePageLayoutView="0" workbookViewId="0" topLeftCell="A2">
      <selection activeCell="J9" sqref="J9"/>
    </sheetView>
  </sheetViews>
  <sheetFormatPr defaultColWidth="8.796875" defaultRowHeight="15"/>
  <cols>
    <col min="1" max="1" width="4.09765625" style="0" customWidth="1"/>
    <col min="2" max="2" width="34.09765625" style="0" customWidth="1"/>
    <col min="3" max="3" width="8.59765625" style="261" customWidth="1"/>
    <col min="4" max="4" width="8.19921875" style="331" customWidth="1"/>
    <col min="5" max="5" width="7.69921875" style="0" bestFit="1" customWidth="1"/>
    <col min="6" max="6" width="8.5" style="0" customWidth="1"/>
    <col min="7" max="7" width="8.69921875" style="0" customWidth="1"/>
    <col min="8" max="8" width="11.19921875" style="0" bestFit="1" customWidth="1"/>
  </cols>
  <sheetData>
    <row r="1" spans="1:7" ht="16.5" thickBot="1">
      <c r="A1" s="429" t="s">
        <v>355</v>
      </c>
      <c r="B1" s="429"/>
      <c r="C1" s="429"/>
      <c r="D1" s="429"/>
      <c r="E1" s="429"/>
      <c r="F1" s="429"/>
      <c r="G1" s="429"/>
    </row>
    <row r="2" spans="1:8" ht="33" customHeight="1">
      <c r="A2" s="430" t="s">
        <v>232</v>
      </c>
      <c r="B2" s="431"/>
      <c r="C2" s="431"/>
      <c r="D2" s="431"/>
      <c r="E2" s="431"/>
      <c r="F2" s="431"/>
      <c r="G2" s="432"/>
      <c r="H2" s="299">
        <v>4.278</v>
      </c>
    </row>
    <row r="3" spans="1:7" ht="16.5" thickBot="1">
      <c r="A3" s="433" t="s">
        <v>356</v>
      </c>
      <c r="B3" s="434"/>
      <c r="C3" s="434"/>
      <c r="D3" s="434"/>
      <c r="E3" s="434"/>
      <c r="F3" s="434"/>
      <c r="G3" s="435"/>
    </row>
    <row r="4" spans="1:7" ht="26.25">
      <c r="A4" s="300" t="s">
        <v>3</v>
      </c>
      <c r="B4" s="301" t="s">
        <v>335</v>
      </c>
      <c r="C4" s="436" t="s">
        <v>336</v>
      </c>
      <c r="D4" s="436"/>
      <c r="E4" s="302" t="s">
        <v>113</v>
      </c>
      <c r="F4" s="437" t="s">
        <v>337</v>
      </c>
      <c r="G4" s="438"/>
    </row>
    <row r="5" spans="1:7" ht="15.75">
      <c r="A5" s="303" t="s">
        <v>338</v>
      </c>
      <c r="B5" s="304" t="s">
        <v>338</v>
      </c>
      <c r="C5" s="305" t="s">
        <v>339</v>
      </c>
      <c r="D5" s="305" t="s">
        <v>340</v>
      </c>
      <c r="E5" s="305" t="s">
        <v>339</v>
      </c>
      <c r="F5" s="305" t="s">
        <v>339</v>
      </c>
      <c r="G5" s="306" t="s">
        <v>340</v>
      </c>
    </row>
    <row r="6" spans="1:7" ht="16.5" thickBot="1">
      <c r="A6" s="307">
        <v>1</v>
      </c>
      <c r="B6" s="308">
        <v>2</v>
      </c>
      <c r="C6" s="309">
        <v>3</v>
      </c>
      <c r="D6" s="310">
        <v>4</v>
      </c>
      <c r="E6" s="310">
        <v>5</v>
      </c>
      <c r="F6" s="311">
        <v>6</v>
      </c>
      <c r="G6" s="312">
        <v>7</v>
      </c>
    </row>
    <row r="7" spans="1:7" ht="15.75">
      <c r="A7" s="439" t="s">
        <v>341</v>
      </c>
      <c r="B7" s="440"/>
      <c r="C7" s="440"/>
      <c r="D7" s="440"/>
      <c r="E7" s="440"/>
      <c r="F7" s="440"/>
      <c r="G7" s="441"/>
    </row>
    <row r="8" spans="1:7" ht="15.75">
      <c r="A8" s="313">
        <v>1</v>
      </c>
      <c r="B8" s="268" t="s">
        <v>58</v>
      </c>
      <c r="C8" s="314">
        <v>0</v>
      </c>
      <c r="D8" s="314">
        <f aca="true" t="shared" si="0" ref="D8:D15">C8/$H$2</f>
        <v>0</v>
      </c>
      <c r="E8" s="314">
        <f>C8*0.19</f>
        <v>0</v>
      </c>
      <c r="F8" s="314">
        <f aca="true" t="shared" si="1" ref="F8:F15">C8+E8</f>
        <v>0</v>
      </c>
      <c r="G8" s="315">
        <f aca="true" t="shared" si="2" ref="G8:G15">D8*1.19</f>
        <v>0</v>
      </c>
    </row>
    <row r="9" spans="1:7" ht="39">
      <c r="A9" s="316">
        <v>2</v>
      </c>
      <c r="B9" s="268" t="s">
        <v>342</v>
      </c>
      <c r="C9" s="332">
        <v>8.56491</v>
      </c>
      <c r="D9" s="332">
        <f t="shared" si="0"/>
        <v>2.002082748948107</v>
      </c>
      <c r="E9" s="332">
        <f>C9*0.24</f>
        <v>2.0555784</v>
      </c>
      <c r="F9" s="332">
        <f t="shared" si="1"/>
        <v>10.6204884</v>
      </c>
      <c r="G9" s="333">
        <f t="shared" si="2"/>
        <v>2.382478471248247</v>
      </c>
    </row>
    <row r="10" spans="1:7" ht="15.75">
      <c r="A10" s="313">
        <v>3</v>
      </c>
      <c r="B10" s="268" t="s">
        <v>343</v>
      </c>
      <c r="C10" s="314">
        <v>0</v>
      </c>
      <c r="D10" s="314">
        <f t="shared" si="0"/>
        <v>0</v>
      </c>
      <c r="E10" s="314">
        <f aca="true" t="shared" si="3" ref="E10:E15">C10*0.24</f>
        <v>0</v>
      </c>
      <c r="F10" s="314">
        <f t="shared" si="1"/>
        <v>0</v>
      </c>
      <c r="G10" s="315">
        <f t="shared" si="2"/>
        <v>0</v>
      </c>
    </row>
    <row r="11" spans="1:7" ht="15.75">
      <c r="A11" s="313">
        <v>4</v>
      </c>
      <c r="B11" s="268" t="s">
        <v>59</v>
      </c>
      <c r="C11" s="317">
        <v>0</v>
      </c>
      <c r="D11" s="314">
        <f t="shared" si="0"/>
        <v>0</v>
      </c>
      <c r="E11" s="314">
        <f t="shared" si="3"/>
        <v>0</v>
      </c>
      <c r="F11" s="314">
        <f t="shared" si="1"/>
        <v>0</v>
      </c>
      <c r="G11" s="315">
        <f t="shared" si="2"/>
        <v>0</v>
      </c>
    </row>
    <row r="12" spans="1:7" ht="15.75">
      <c r="A12" s="313">
        <v>5</v>
      </c>
      <c r="B12" s="268" t="s">
        <v>60</v>
      </c>
      <c r="C12" s="314">
        <v>0</v>
      </c>
      <c r="D12" s="314">
        <f t="shared" si="0"/>
        <v>0</v>
      </c>
      <c r="E12" s="314">
        <f t="shared" si="3"/>
        <v>0</v>
      </c>
      <c r="F12" s="314">
        <f t="shared" si="1"/>
        <v>0</v>
      </c>
      <c r="G12" s="315">
        <f t="shared" si="2"/>
        <v>0</v>
      </c>
    </row>
    <row r="13" spans="1:7" ht="26.25">
      <c r="A13" s="313">
        <v>6</v>
      </c>
      <c r="B13" s="268" t="s">
        <v>344</v>
      </c>
      <c r="C13" s="314">
        <v>0</v>
      </c>
      <c r="D13" s="314">
        <f t="shared" si="0"/>
        <v>0</v>
      </c>
      <c r="E13" s="314">
        <f t="shared" si="3"/>
        <v>0</v>
      </c>
      <c r="F13" s="314">
        <f t="shared" si="1"/>
        <v>0</v>
      </c>
      <c r="G13" s="315">
        <f t="shared" si="2"/>
        <v>0</v>
      </c>
    </row>
    <row r="14" spans="1:7" ht="15.75">
      <c r="A14" s="316">
        <v>7</v>
      </c>
      <c r="B14" s="268" t="s">
        <v>345</v>
      </c>
      <c r="C14" s="314">
        <v>0</v>
      </c>
      <c r="D14" s="314">
        <f t="shared" si="0"/>
        <v>0</v>
      </c>
      <c r="E14" s="314">
        <f t="shared" si="3"/>
        <v>0</v>
      </c>
      <c r="F14" s="314">
        <f t="shared" si="1"/>
        <v>0</v>
      </c>
      <c r="G14" s="315">
        <f t="shared" si="2"/>
        <v>0</v>
      </c>
    </row>
    <row r="15" spans="1:7" ht="15.75">
      <c r="A15" s="318">
        <v>8</v>
      </c>
      <c r="B15" s="319" t="s">
        <v>346</v>
      </c>
      <c r="C15" s="337">
        <v>0</v>
      </c>
      <c r="D15" s="314">
        <f t="shared" si="0"/>
        <v>0</v>
      </c>
      <c r="E15" s="314">
        <f t="shared" si="3"/>
        <v>0</v>
      </c>
      <c r="F15" s="314">
        <f t="shared" si="1"/>
        <v>0</v>
      </c>
      <c r="G15" s="315">
        <f t="shared" si="2"/>
        <v>0</v>
      </c>
    </row>
    <row r="16" spans="1:7" ht="16.5" thickBot="1">
      <c r="A16" s="320"/>
      <c r="B16" s="321" t="s">
        <v>347</v>
      </c>
      <c r="C16" s="334">
        <f>SUM(C8:C14)</f>
        <v>8.56491</v>
      </c>
      <c r="D16" s="334">
        <f>SUM(D8:D14)</f>
        <v>2.002082748948107</v>
      </c>
      <c r="E16" s="334">
        <f>SUM(E8:E14)</f>
        <v>2.0555784</v>
      </c>
      <c r="F16" s="334">
        <f>SUM(F8:F14)</f>
        <v>10.6204884</v>
      </c>
      <c r="G16" s="335">
        <f>SUM(G8:G14)</f>
        <v>2.382478471248247</v>
      </c>
    </row>
    <row r="17" spans="1:7" ht="15.75">
      <c r="A17" s="421" t="s">
        <v>348</v>
      </c>
      <c r="B17" s="422"/>
      <c r="C17" s="422"/>
      <c r="D17" s="422"/>
      <c r="E17" s="422"/>
      <c r="F17" s="422"/>
      <c r="G17" s="423"/>
    </row>
    <row r="18" spans="1:7" ht="15.75">
      <c r="A18" s="316">
        <v>1</v>
      </c>
      <c r="B18" s="268" t="s">
        <v>63</v>
      </c>
      <c r="C18" s="314">
        <f>'[2]general bun'!D26</f>
        <v>0</v>
      </c>
      <c r="D18" s="314">
        <f>C18/H2</f>
        <v>0</v>
      </c>
      <c r="E18" s="314">
        <f>C18*0.24</f>
        <v>0</v>
      </c>
      <c r="F18" s="314">
        <f>C18+E18</f>
        <v>0</v>
      </c>
      <c r="G18" s="315">
        <f>D18*1.19</f>
        <v>0</v>
      </c>
    </row>
    <row r="19" spans="1:7" s="324" customFormat="1" ht="13.5" thickBot="1">
      <c r="A19" s="320"/>
      <c r="B19" s="321" t="s">
        <v>349</v>
      </c>
      <c r="C19" s="322">
        <f>C18</f>
        <v>0</v>
      </c>
      <c r="D19" s="322">
        <f>D18</f>
        <v>0</v>
      </c>
      <c r="E19" s="322">
        <f>E18</f>
        <v>0</v>
      </c>
      <c r="F19" s="322">
        <f>F18</f>
        <v>0</v>
      </c>
      <c r="G19" s="323">
        <f>G18</f>
        <v>0</v>
      </c>
    </row>
    <row r="20" spans="1:7" ht="15.75">
      <c r="A20" s="424" t="s">
        <v>350</v>
      </c>
      <c r="B20" s="425"/>
      <c r="C20" s="425"/>
      <c r="D20" s="425"/>
      <c r="E20" s="425"/>
      <c r="F20" s="425"/>
      <c r="G20" s="426"/>
    </row>
    <row r="21" spans="1:7" ht="15.75">
      <c r="A21" s="313">
        <v>1</v>
      </c>
      <c r="B21" s="268" t="s">
        <v>351</v>
      </c>
      <c r="C21" s="325">
        <f>'[2]general bun'!D27</f>
        <v>0</v>
      </c>
      <c r="D21" s="325">
        <f>C21/$H$2</f>
        <v>0</v>
      </c>
      <c r="E21" s="325">
        <f>C21*0.24</f>
        <v>0</v>
      </c>
      <c r="F21" s="325">
        <f>C21+E21</f>
        <v>0</v>
      </c>
      <c r="G21" s="326">
        <f>D21*1.19</f>
        <v>0</v>
      </c>
    </row>
    <row r="22" spans="1:7" ht="15.75">
      <c r="A22" s="313">
        <v>2</v>
      </c>
      <c r="B22" s="268" t="s">
        <v>65</v>
      </c>
      <c r="C22" s="325">
        <f>'[2]general bun'!D28</f>
        <v>0</v>
      </c>
      <c r="D22" s="325">
        <f>C22/$H$2</f>
        <v>0</v>
      </c>
      <c r="E22" s="325">
        <f>C22*0.24</f>
        <v>0</v>
      </c>
      <c r="F22" s="325">
        <f>C22+E22</f>
        <v>0</v>
      </c>
      <c r="G22" s="326">
        <f>D22*1.19</f>
        <v>0</v>
      </c>
    </row>
    <row r="23" spans="1:7" ht="15.75">
      <c r="A23" s="313">
        <v>4</v>
      </c>
      <c r="B23" s="268" t="s">
        <v>66</v>
      </c>
      <c r="C23" s="325">
        <f>'[2]general bun'!D29</f>
        <v>0</v>
      </c>
      <c r="D23" s="325">
        <f>C23/$H$2</f>
        <v>0</v>
      </c>
      <c r="E23" s="325">
        <f>C23*0.24</f>
        <v>0</v>
      </c>
      <c r="F23" s="325">
        <f>C23+E23</f>
        <v>0</v>
      </c>
      <c r="G23" s="326">
        <f>D23*1.19</f>
        <v>0</v>
      </c>
    </row>
    <row r="24" spans="1:7" ht="16.5" thickBot="1">
      <c r="A24" s="327"/>
      <c r="B24" s="328" t="s">
        <v>352</v>
      </c>
      <c r="C24" s="329">
        <f>SUM(C21:C23)</f>
        <v>0</v>
      </c>
      <c r="D24" s="329">
        <f>SUM(D21:D23)</f>
        <v>0</v>
      </c>
      <c r="E24" s="329">
        <f>SUM(E21:E23)</f>
        <v>0</v>
      </c>
      <c r="F24" s="329">
        <f>SUM(F21:F23)</f>
        <v>0</v>
      </c>
      <c r="G24" s="330">
        <f>SUM(G21:G23)</f>
        <v>0</v>
      </c>
    </row>
    <row r="25" spans="1:7" ht="16.5" thickBot="1">
      <c r="A25" s="427" t="s">
        <v>353</v>
      </c>
      <c r="B25" s="428"/>
      <c r="C25" s="336">
        <f>+C16+C19+C24</f>
        <v>8.56491</v>
      </c>
      <c r="D25" s="336">
        <f>+D16+D19+D24</f>
        <v>2.002082748948107</v>
      </c>
      <c r="E25" s="336">
        <f>+E16+E19+E24</f>
        <v>2.0555784</v>
      </c>
      <c r="F25" s="336">
        <f>+F16+F19+F24</f>
        <v>10.6204884</v>
      </c>
      <c r="G25" s="336">
        <f>+G16+G19+G24</f>
        <v>2.382478471248247</v>
      </c>
    </row>
    <row r="27" ht="15.75">
      <c r="C27" s="261" t="s">
        <v>67</v>
      </c>
    </row>
    <row r="28" ht="15.75">
      <c r="C28" s="261" t="s">
        <v>354</v>
      </c>
    </row>
  </sheetData>
  <sheetProtection/>
  <mergeCells count="9">
    <mergeCell ref="A17:G17"/>
    <mergeCell ref="A20:G20"/>
    <mergeCell ref="A25:B25"/>
    <mergeCell ref="A1:G1"/>
    <mergeCell ref="A2:G2"/>
    <mergeCell ref="A3:G3"/>
    <mergeCell ref="C4:D4"/>
    <mergeCell ref="F4:G4"/>
    <mergeCell ref="A7: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58"/>
  <sheetViews>
    <sheetView zoomScalePageLayoutView="0" workbookViewId="0" topLeftCell="A1">
      <selection activeCell="A3" sqref="A3:D3"/>
    </sheetView>
  </sheetViews>
  <sheetFormatPr defaultColWidth="8" defaultRowHeight="15"/>
  <cols>
    <col min="1" max="1" width="6.09765625" style="102" customWidth="1"/>
    <col min="2" max="2" width="29.09765625" style="75" customWidth="1"/>
    <col min="3" max="3" width="6.19921875" style="103" customWidth="1"/>
    <col min="4" max="4" width="7.5" style="103" customWidth="1"/>
    <col min="5" max="5" width="8.59765625" style="103" customWidth="1"/>
    <col min="6" max="6" width="9.19921875" style="103" customWidth="1"/>
    <col min="7" max="7" width="11.19921875" style="75" customWidth="1"/>
    <col min="8" max="8" width="9.59765625" style="75" customWidth="1"/>
    <col min="9" max="9" width="9.5" style="75" customWidth="1"/>
    <col min="10" max="10" width="8" style="75" customWidth="1"/>
    <col min="11" max="11" width="11.09765625" style="75" customWidth="1"/>
    <col min="12" max="16384" width="8" style="75" customWidth="1"/>
  </cols>
  <sheetData>
    <row r="1" spans="1:8" s="4" customFormat="1" ht="12.75">
      <c r="A1" s="417" t="s">
        <v>123</v>
      </c>
      <c r="B1" s="417"/>
      <c r="C1" s="417"/>
      <c r="D1" s="47"/>
      <c r="E1" s="20"/>
      <c r="F1" s="23"/>
      <c r="H1" s="176" t="s">
        <v>206</v>
      </c>
    </row>
    <row r="2" spans="1:6" s="4" customFormat="1" ht="12.75">
      <c r="A2" s="405" t="s">
        <v>232</v>
      </c>
      <c r="B2" s="405"/>
      <c r="C2" s="405"/>
      <c r="D2" s="405"/>
      <c r="E2" s="20"/>
      <c r="F2" s="23"/>
    </row>
    <row r="3" spans="1:6" s="4" customFormat="1" ht="12.75">
      <c r="A3" s="405" t="s">
        <v>333</v>
      </c>
      <c r="B3" s="405"/>
      <c r="C3" s="405"/>
      <c r="D3" s="405"/>
      <c r="E3" s="20"/>
      <c r="F3" s="23"/>
    </row>
    <row r="4" spans="1:6" s="4" customFormat="1" ht="12.75">
      <c r="A4" s="70"/>
      <c r="B4" s="70"/>
      <c r="C4" s="70"/>
      <c r="D4" s="70"/>
      <c r="E4" s="20"/>
      <c r="F4" s="23"/>
    </row>
    <row r="5" spans="1:8" s="4" customFormat="1" ht="15.75">
      <c r="A5" s="443" t="s">
        <v>169</v>
      </c>
      <c r="B5" s="443"/>
      <c r="C5" s="443"/>
      <c r="D5" s="443"/>
      <c r="E5" s="443"/>
      <c r="F5" s="443"/>
      <c r="G5" s="443"/>
      <c r="H5" s="443"/>
    </row>
    <row r="6" spans="1:8" s="4" customFormat="1" ht="12.75">
      <c r="A6" s="442" t="s">
        <v>193</v>
      </c>
      <c r="B6" s="442"/>
      <c r="C6" s="442"/>
      <c r="D6" s="442"/>
      <c r="E6" s="442"/>
      <c r="F6" s="442"/>
      <c r="G6" s="442"/>
      <c r="H6" s="442"/>
    </row>
    <row r="7" spans="1:7" ht="15.75" thickBot="1">
      <c r="A7" s="105"/>
      <c r="B7" s="105"/>
      <c r="C7" s="105"/>
      <c r="D7" s="105"/>
      <c r="E7" s="105"/>
      <c r="F7" s="105"/>
      <c r="G7" s="105"/>
    </row>
    <row r="8" spans="1:11" ht="51">
      <c r="A8" s="106" t="s">
        <v>69</v>
      </c>
      <c r="B8" s="107" t="s">
        <v>165</v>
      </c>
      <c r="C8" s="108" t="s">
        <v>162</v>
      </c>
      <c r="D8" s="108" t="s">
        <v>163</v>
      </c>
      <c r="E8" s="108" t="s">
        <v>166</v>
      </c>
      <c r="F8" s="108" t="s">
        <v>170</v>
      </c>
      <c r="G8" s="107" t="s">
        <v>167</v>
      </c>
      <c r="H8" s="109" t="s">
        <v>168</v>
      </c>
      <c r="I8" s="78"/>
      <c r="J8" s="76"/>
      <c r="K8" s="76"/>
    </row>
    <row r="9" spans="1:11" ht="12.75">
      <c r="A9" s="110">
        <v>0</v>
      </c>
      <c r="B9" s="77">
        <v>1</v>
      </c>
      <c r="C9" s="123">
        <v>2</v>
      </c>
      <c r="D9" s="123">
        <v>3</v>
      </c>
      <c r="E9" s="123">
        <v>4</v>
      </c>
      <c r="F9" s="123">
        <v>5</v>
      </c>
      <c r="G9" s="77">
        <v>6</v>
      </c>
      <c r="H9" s="111">
        <v>7</v>
      </c>
      <c r="I9" s="78"/>
      <c r="J9" s="76"/>
      <c r="K9" s="76"/>
    </row>
    <row r="10" spans="1:11" ht="51">
      <c r="A10" s="167">
        <v>1</v>
      </c>
      <c r="B10" s="170" t="s">
        <v>242</v>
      </c>
      <c r="C10" s="213" t="s">
        <v>243</v>
      </c>
      <c r="D10" s="202">
        <v>1</v>
      </c>
      <c r="E10" s="214">
        <v>12945</v>
      </c>
      <c r="F10" s="202">
        <f>D10*E10/1000</f>
        <v>12.945</v>
      </c>
      <c r="G10" s="203"/>
      <c r="H10" s="204" t="s">
        <v>226</v>
      </c>
      <c r="I10" s="84"/>
      <c r="J10" s="76"/>
      <c r="K10" s="76"/>
    </row>
    <row r="11" spans="1:11" ht="25.5">
      <c r="A11" s="167">
        <v>2</v>
      </c>
      <c r="B11" s="170" t="s">
        <v>234</v>
      </c>
      <c r="C11" s="213" t="s">
        <v>164</v>
      </c>
      <c r="D11" s="202">
        <v>1</v>
      </c>
      <c r="E11" s="214">
        <v>190</v>
      </c>
      <c r="F11" s="202">
        <f>D11*E11/1000</f>
        <v>0.19</v>
      </c>
      <c r="G11" s="203"/>
      <c r="H11" s="204" t="s">
        <v>227</v>
      </c>
      <c r="I11" s="84"/>
      <c r="J11" s="76"/>
      <c r="K11" s="76"/>
    </row>
    <row r="12" spans="1:11" ht="51">
      <c r="A12" s="167">
        <v>3</v>
      </c>
      <c r="B12" s="212" t="s">
        <v>235</v>
      </c>
      <c r="C12" s="213" t="s">
        <v>164</v>
      </c>
      <c r="D12" s="202">
        <v>4</v>
      </c>
      <c r="E12" s="214">
        <v>243.7</v>
      </c>
      <c r="F12" s="202">
        <f>D12*E12/1000</f>
        <v>0.9748</v>
      </c>
      <c r="G12" s="203"/>
      <c r="H12" s="204" t="s">
        <v>228</v>
      </c>
      <c r="I12" s="84"/>
      <c r="J12" s="76"/>
      <c r="K12" s="76"/>
    </row>
    <row r="13" spans="1:11" ht="12.75">
      <c r="A13" s="167">
        <v>4</v>
      </c>
      <c r="B13" s="170" t="s">
        <v>244</v>
      </c>
      <c r="C13" s="201" t="s">
        <v>164</v>
      </c>
      <c r="D13" s="202">
        <v>1</v>
      </c>
      <c r="E13" s="214">
        <v>83.2</v>
      </c>
      <c r="F13" s="202">
        <f>D13*E13/1000</f>
        <v>0.0832</v>
      </c>
      <c r="G13" s="203"/>
      <c r="H13" s="204" t="s">
        <v>229</v>
      </c>
      <c r="I13" s="84"/>
      <c r="J13" s="76"/>
      <c r="K13" s="76"/>
    </row>
    <row r="14" spans="1:11" ht="25.5">
      <c r="A14" s="167">
        <v>5</v>
      </c>
      <c r="B14" s="215" t="s">
        <v>254</v>
      </c>
      <c r="C14" s="201" t="s">
        <v>164</v>
      </c>
      <c r="D14" s="202">
        <v>1</v>
      </c>
      <c r="E14" s="214">
        <v>1293.3</v>
      </c>
      <c r="F14" s="202">
        <f>D14*E14/1000</f>
        <v>1.2933</v>
      </c>
      <c r="G14" s="203"/>
      <c r="H14" s="204" t="s">
        <v>230</v>
      </c>
      <c r="I14" s="84"/>
      <c r="J14" s="76"/>
      <c r="K14" s="76"/>
    </row>
    <row r="15" spans="1:11" ht="18" customHeight="1">
      <c r="A15" s="114"/>
      <c r="B15" s="85" t="s">
        <v>52</v>
      </c>
      <c r="C15" s="86"/>
      <c r="D15" s="87"/>
      <c r="E15" s="88"/>
      <c r="F15" s="89">
        <f>SUM(F10:F14)</f>
        <v>15.4863</v>
      </c>
      <c r="G15" s="81"/>
      <c r="H15" s="115"/>
      <c r="I15" s="84"/>
      <c r="J15" s="76"/>
      <c r="K15" s="76"/>
    </row>
    <row r="16" spans="1:11" ht="18" customHeight="1">
      <c r="A16" s="112"/>
      <c r="B16" s="104" t="s">
        <v>171</v>
      </c>
      <c r="C16" s="88"/>
      <c r="D16" s="88"/>
      <c r="E16" s="90"/>
      <c r="F16" s="89">
        <f>F15*1.19</f>
        <v>18.428697</v>
      </c>
      <c r="G16" s="81"/>
      <c r="H16" s="115"/>
      <c r="I16" s="84"/>
      <c r="J16" s="76"/>
      <c r="K16" s="76"/>
    </row>
    <row r="17" spans="1:11" ht="18" customHeight="1" thickBot="1">
      <c r="A17" s="116"/>
      <c r="B17" s="117" t="s">
        <v>172</v>
      </c>
      <c r="C17" s="118"/>
      <c r="D17" s="118"/>
      <c r="E17" s="119"/>
      <c r="F17" s="120">
        <f>F16/D19*1000</f>
        <v>4306.977890997476</v>
      </c>
      <c r="G17" s="121"/>
      <c r="H17" s="122"/>
      <c r="I17" s="84"/>
      <c r="J17" s="76"/>
      <c r="K17" s="76"/>
    </row>
    <row r="18" spans="1:11" ht="18" customHeight="1">
      <c r="A18" s="92"/>
      <c r="B18" s="93"/>
      <c r="C18" s="94"/>
      <c r="D18" s="94"/>
      <c r="E18" s="94"/>
      <c r="F18" s="94"/>
      <c r="G18" s="92"/>
      <c r="H18" s="76"/>
      <c r="I18" s="76"/>
      <c r="J18" s="76"/>
      <c r="K18" s="76"/>
    </row>
    <row r="19" spans="2:5" s="4" customFormat="1" ht="12.75">
      <c r="B19" s="61" t="s">
        <v>145</v>
      </c>
      <c r="D19" s="62">
        <f>'Deviz-general'!D6</f>
        <v>4.2788</v>
      </c>
      <c r="E19" s="63" t="s">
        <v>146</v>
      </c>
    </row>
    <row r="20" spans="2:5" s="4" customFormat="1" ht="12.75">
      <c r="B20" s="61" t="s">
        <v>2</v>
      </c>
      <c r="D20" s="444" t="str">
        <f>'Deviz-general'!G6</f>
        <v>01-31.12.2009</v>
      </c>
      <c r="E20" s="444"/>
    </row>
    <row r="21" spans="4:5" s="4" customFormat="1" ht="12.75">
      <c r="D21" s="20"/>
      <c r="E21" s="23"/>
    </row>
    <row r="22" s="4" customFormat="1" ht="15">
      <c r="E22" s="65" t="s">
        <v>117</v>
      </c>
    </row>
    <row r="23" spans="4:5" s="4" customFormat="1" ht="12.75">
      <c r="D23" s="20"/>
      <c r="E23" s="23"/>
    </row>
    <row r="24" spans="5:6" s="4" customFormat="1" ht="12.75">
      <c r="E24" s="409"/>
      <c r="F24" s="409"/>
    </row>
    <row r="25" spans="1:7" ht="18" customHeight="1">
      <c r="A25" s="95"/>
      <c r="B25" s="76"/>
      <c r="C25" s="98"/>
      <c r="D25" s="98"/>
      <c r="E25" s="82"/>
      <c r="F25" s="100"/>
      <c r="G25" s="76"/>
    </row>
    <row r="26" spans="1:7" ht="18" customHeight="1">
      <c r="A26" s="92"/>
      <c r="B26" s="93"/>
      <c r="C26" s="94"/>
      <c r="D26" s="94"/>
      <c r="E26" s="94"/>
      <c r="F26" s="94"/>
      <c r="G26" s="76"/>
    </row>
    <row r="27" spans="1:7" ht="18" customHeight="1">
      <c r="A27" s="95"/>
      <c r="B27" s="76"/>
      <c r="C27" s="101"/>
      <c r="D27" s="91"/>
      <c r="E27" s="91"/>
      <c r="F27" s="91"/>
      <c r="G27" s="76"/>
    </row>
    <row r="28" spans="1:7" ht="18" customHeight="1">
      <c r="A28" s="95"/>
      <c r="B28" s="76"/>
      <c r="C28" s="101"/>
      <c r="D28" s="91"/>
      <c r="E28" s="91"/>
      <c r="F28" s="91"/>
      <c r="G28" s="76"/>
    </row>
    <row r="29" spans="1:7" ht="18" customHeight="1">
      <c r="A29" s="95"/>
      <c r="B29" s="76"/>
      <c r="C29" s="101"/>
      <c r="D29" s="91"/>
      <c r="E29" s="91"/>
      <c r="F29" s="91"/>
      <c r="G29" s="76"/>
    </row>
    <row r="30" spans="1:7" ht="18" customHeight="1">
      <c r="A30" s="95"/>
      <c r="B30" s="76"/>
      <c r="C30" s="101"/>
      <c r="D30" s="91"/>
      <c r="E30" s="91"/>
      <c r="F30" s="91"/>
      <c r="G30" s="76"/>
    </row>
    <row r="31" spans="1:7" ht="18" customHeight="1">
      <c r="A31" s="95"/>
      <c r="B31" s="76"/>
      <c r="C31" s="101"/>
      <c r="D31" s="91"/>
      <c r="E31" s="91"/>
      <c r="F31" s="91"/>
      <c r="G31" s="76"/>
    </row>
    <row r="32" spans="1:7" ht="18" customHeight="1">
      <c r="A32" s="95"/>
      <c r="B32" s="76"/>
      <c r="C32" s="101"/>
      <c r="D32" s="91"/>
      <c r="E32" s="91"/>
      <c r="F32" s="91"/>
      <c r="G32" s="76"/>
    </row>
    <row r="33" spans="1:7" ht="18" customHeight="1">
      <c r="A33" s="95"/>
      <c r="B33" s="76"/>
      <c r="C33" s="101"/>
      <c r="D33" s="91"/>
      <c r="E33" s="91"/>
      <c r="F33" s="91"/>
      <c r="G33" s="76"/>
    </row>
    <row r="34" spans="1:7" ht="18" customHeight="1">
      <c r="A34" s="95"/>
      <c r="B34" s="76"/>
      <c r="C34" s="101"/>
      <c r="D34" s="91"/>
      <c r="E34" s="91"/>
      <c r="F34" s="91"/>
      <c r="G34" s="76"/>
    </row>
    <row r="35" spans="1:7" ht="18" customHeight="1">
      <c r="A35" s="95"/>
      <c r="B35" s="76"/>
      <c r="C35" s="101"/>
      <c r="D35" s="91"/>
      <c r="E35" s="91"/>
      <c r="F35" s="91"/>
      <c r="G35" s="76"/>
    </row>
    <row r="36" spans="1:7" ht="18" customHeight="1">
      <c r="A36" s="95"/>
      <c r="B36" s="76"/>
      <c r="C36" s="101"/>
      <c r="D36" s="91"/>
      <c r="E36" s="91"/>
      <c r="F36" s="91"/>
      <c r="G36" s="76"/>
    </row>
    <row r="37" spans="1:7" ht="18" customHeight="1">
      <c r="A37" s="95"/>
      <c r="B37" s="76"/>
      <c r="C37" s="101"/>
      <c r="D37" s="91"/>
      <c r="E37" s="91"/>
      <c r="F37" s="91"/>
      <c r="G37" s="76"/>
    </row>
    <row r="38" spans="1:7" ht="18" customHeight="1">
      <c r="A38" s="95"/>
      <c r="B38" s="76"/>
      <c r="C38" s="101"/>
      <c r="D38" s="91"/>
      <c r="E38" s="91"/>
      <c r="F38" s="91"/>
      <c r="G38" s="76"/>
    </row>
    <row r="39" spans="1:7" ht="18" customHeight="1">
      <c r="A39" s="95"/>
      <c r="B39" s="76"/>
      <c r="C39" s="101"/>
      <c r="D39" s="91"/>
      <c r="E39" s="91"/>
      <c r="F39" s="91"/>
      <c r="G39" s="76"/>
    </row>
    <row r="40" spans="1:7" ht="18" customHeight="1">
      <c r="A40" s="95"/>
      <c r="B40" s="76"/>
      <c r="C40" s="101"/>
      <c r="D40" s="91"/>
      <c r="E40" s="91"/>
      <c r="F40" s="91"/>
      <c r="G40" s="76"/>
    </row>
    <row r="41" spans="1:7" ht="18" customHeight="1">
      <c r="A41" s="95"/>
      <c r="B41" s="76"/>
      <c r="C41" s="101"/>
      <c r="D41" s="91"/>
      <c r="E41" s="91"/>
      <c r="F41" s="91"/>
      <c r="G41" s="76"/>
    </row>
    <row r="42" spans="1:7" ht="18" customHeight="1">
      <c r="A42" s="95"/>
      <c r="B42" s="76"/>
      <c r="C42" s="101"/>
      <c r="D42" s="91"/>
      <c r="E42" s="91"/>
      <c r="F42" s="91"/>
      <c r="G42" s="76"/>
    </row>
    <row r="43" spans="1:7" ht="18" customHeight="1">
      <c r="A43" s="95"/>
      <c r="B43" s="76"/>
      <c r="C43" s="101"/>
      <c r="D43" s="91"/>
      <c r="E43" s="91"/>
      <c r="F43" s="91"/>
      <c r="G43" s="76"/>
    </row>
    <row r="44" spans="1:7" ht="18" customHeight="1">
      <c r="A44" s="95"/>
      <c r="B44" s="76"/>
      <c r="C44" s="101"/>
      <c r="D44" s="91"/>
      <c r="E44" s="91"/>
      <c r="F44" s="91"/>
      <c r="G44" s="76"/>
    </row>
    <row r="45" spans="1:7" ht="18" customHeight="1">
      <c r="A45" s="95"/>
      <c r="B45" s="76"/>
      <c r="C45" s="101"/>
      <c r="D45" s="91"/>
      <c r="E45" s="91"/>
      <c r="F45" s="91"/>
      <c r="G45" s="76"/>
    </row>
    <row r="46" spans="1:7" ht="18" customHeight="1">
      <c r="A46" s="95"/>
      <c r="B46" s="76"/>
      <c r="C46" s="101"/>
      <c r="D46" s="91"/>
      <c r="E46" s="91"/>
      <c r="F46" s="91"/>
      <c r="G46" s="76"/>
    </row>
    <row r="47" spans="1:7" ht="18" customHeight="1">
      <c r="A47" s="95"/>
      <c r="B47" s="76"/>
      <c r="C47" s="91"/>
      <c r="D47" s="91"/>
      <c r="E47" s="91"/>
      <c r="F47" s="91"/>
      <c r="G47" s="76"/>
    </row>
    <row r="48" spans="1:7" ht="18" customHeight="1">
      <c r="A48" s="99"/>
      <c r="B48" s="100"/>
      <c r="C48" s="96"/>
      <c r="D48" s="97"/>
      <c r="E48" s="98"/>
      <c r="F48" s="82"/>
      <c r="G48" s="91"/>
    </row>
    <row r="49" spans="1:7" ht="18" customHeight="1">
      <c r="A49" s="95"/>
      <c r="B49" s="76"/>
      <c r="C49" s="98"/>
      <c r="D49" s="98"/>
      <c r="E49" s="82"/>
      <c r="F49" s="100"/>
      <c r="G49" s="76"/>
    </row>
    <row r="50" spans="1:7" ht="18" customHeight="1">
      <c r="A50" s="95"/>
      <c r="B50" s="76"/>
      <c r="C50" s="91"/>
      <c r="D50" s="91"/>
      <c r="E50" s="91"/>
      <c r="F50" s="91"/>
      <c r="G50" s="76"/>
    </row>
    <row r="51" spans="1:7" ht="18" customHeight="1">
      <c r="A51" s="95"/>
      <c r="B51" s="76"/>
      <c r="C51" s="91"/>
      <c r="D51" s="91"/>
      <c r="E51" s="91"/>
      <c r="F51" s="91"/>
      <c r="G51" s="76"/>
    </row>
    <row r="52" spans="1:7" ht="12.75">
      <c r="A52" s="95"/>
      <c r="B52" s="76"/>
      <c r="C52" s="91"/>
      <c r="D52" s="91"/>
      <c r="E52" s="91"/>
      <c r="F52" s="91"/>
      <c r="G52" s="76"/>
    </row>
    <row r="53" spans="1:7" ht="12.75">
      <c r="A53" s="99"/>
      <c r="B53" s="76"/>
      <c r="C53" s="91"/>
      <c r="D53" s="91"/>
      <c r="E53" s="91"/>
      <c r="F53" s="91"/>
      <c r="G53" s="76"/>
    </row>
    <row r="54" spans="1:7" ht="12.75">
      <c r="A54" s="99"/>
      <c r="B54" s="76"/>
      <c r="C54" s="91"/>
      <c r="D54" s="91"/>
      <c r="E54" s="91"/>
      <c r="F54" s="91"/>
      <c r="G54" s="76"/>
    </row>
    <row r="55" spans="1:7" ht="12.75">
      <c r="A55" s="99"/>
      <c r="B55" s="76"/>
      <c r="C55" s="91"/>
      <c r="D55" s="91"/>
      <c r="E55" s="91"/>
      <c r="F55" s="91"/>
      <c r="G55" s="76"/>
    </row>
    <row r="56" spans="1:7" ht="12.75">
      <c r="A56" s="99"/>
      <c r="B56" s="76"/>
      <c r="C56" s="91"/>
      <c r="D56" s="91"/>
      <c r="E56" s="91"/>
      <c r="F56" s="91"/>
      <c r="G56" s="76"/>
    </row>
    <row r="57" spans="1:7" ht="12.75">
      <c r="A57" s="99"/>
      <c r="B57" s="76"/>
      <c r="C57" s="91"/>
      <c r="D57" s="91"/>
      <c r="E57" s="91"/>
      <c r="F57" s="91"/>
      <c r="G57" s="76"/>
    </row>
    <row r="58" spans="1:7" ht="12.75">
      <c r="A58" s="99"/>
      <c r="B58" s="76"/>
      <c r="C58" s="91"/>
      <c r="D58" s="91"/>
      <c r="E58" s="91"/>
      <c r="F58" s="91"/>
      <c r="G58" s="76"/>
    </row>
  </sheetData>
  <sheetProtection/>
  <mergeCells count="7">
    <mergeCell ref="E24:F24"/>
    <mergeCell ref="A1:C1"/>
    <mergeCell ref="A2:D2"/>
    <mergeCell ref="A3:D3"/>
    <mergeCell ref="A6:H6"/>
    <mergeCell ref="A5:H5"/>
    <mergeCell ref="D20:E20"/>
  </mergeCells>
  <printOptions/>
  <pageMargins left="0.75" right="0.5" top="1" bottom="1" header="0.5" footer="0.5"/>
  <pageSetup blackAndWhite="1" horizontalDpi="1200" verticalDpi="1200" orientation="portrait" paperSize="9" scale="90" r:id="rId1"/>
  <headerFooter alignWithMargins="0">
    <oddHeader>&amp;LFORMULAR F4-UTILAJE&amp;R&amp;10                 SC PRO-EM SRL
Covasna, str Unirii, nr. 2, jud. Covasna
 - J14/45/2007; CUI:20882687 -</oddHeader>
  </headerFooter>
</worksheet>
</file>

<file path=xl/worksheets/sheet7.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203</v>
      </c>
      <c r="B5" s="443"/>
      <c r="C5" s="443"/>
      <c r="D5" s="443"/>
    </row>
    <row r="6" spans="1:4" s="4" customFormat="1" ht="45.75" customHeight="1">
      <c r="A6" s="216" t="s">
        <v>194</v>
      </c>
      <c r="B6" s="216"/>
      <c r="C6" s="445" t="str">
        <f>'F4-U'!B10</f>
        <v>Centrala murala in condensatie 65KW, functionind cu gaz metan, KIT tubulatura evacuare gaze arse, Boiler ACM cu acumulare - capacitate 300L</v>
      </c>
      <c r="D6" s="445"/>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89.25">
      <c r="A10" s="167">
        <v>1</v>
      </c>
      <c r="B10" s="168" t="s">
        <v>198</v>
      </c>
      <c r="C10" s="217" t="s">
        <v>247</v>
      </c>
      <c r="D10" s="169"/>
      <c r="E10" s="84"/>
      <c r="F10" s="76"/>
      <c r="G10" s="76"/>
    </row>
    <row r="11" spans="1:7" ht="12.75">
      <c r="A11" s="167"/>
      <c r="B11" s="168"/>
      <c r="C11" s="79"/>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232" t="s">
        <v>284</v>
      </c>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8.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248</v>
      </c>
      <c r="B5" s="443"/>
      <c r="C5" s="443"/>
      <c r="D5" s="443"/>
    </row>
    <row r="6" spans="1:4" s="4" customFormat="1" ht="12.75">
      <c r="A6" s="216" t="s">
        <v>194</v>
      </c>
      <c r="B6" s="216"/>
      <c r="C6" s="445" t="str">
        <f>'F4-U'!B11</f>
        <v>Vas expansiune inchis - capacitate 60L</v>
      </c>
      <c r="D6" s="445"/>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12.75">
      <c r="A10" s="167">
        <v>1</v>
      </c>
      <c r="B10" s="168" t="s">
        <v>198</v>
      </c>
      <c r="C10" s="217" t="str">
        <f>'F4-U'!B11</f>
        <v>Vas expansiune inchis - capacitate 60L</v>
      </c>
      <c r="D10" s="169"/>
      <c r="E10" s="84"/>
      <c r="F10" s="76"/>
      <c r="G10" s="76"/>
    </row>
    <row r="11" spans="1:7" ht="12.75">
      <c r="A11" s="167"/>
      <c r="B11" s="168"/>
      <c r="C11" s="79"/>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79"/>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xl/worksheets/sheet9.xml><?xml version="1.0" encoding="utf-8"?>
<worksheet xmlns="http://schemas.openxmlformats.org/spreadsheetml/2006/main" xmlns:r="http://schemas.openxmlformats.org/officeDocument/2006/relationships">
  <dimension ref="A1:G57"/>
  <sheetViews>
    <sheetView zoomScalePageLayoutView="0" workbookViewId="0" topLeftCell="A1">
      <selection activeCell="A3" sqref="A3:B3"/>
    </sheetView>
  </sheetViews>
  <sheetFormatPr defaultColWidth="8" defaultRowHeight="15"/>
  <cols>
    <col min="1" max="1" width="6.09765625" style="102" customWidth="1"/>
    <col min="2" max="2" width="29.09765625" style="75" customWidth="1"/>
    <col min="3" max="3" width="31.19921875" style="103" customWidth="1"/>
    <col min="4" max="4" width="25" style="103" customWidth="1"/>
    <col min="5" max="5" width="9.5" style="75" customWidth="1"/>
    <col min="6" max="6" width="8" style="75" customWidth="1"/>
    <col min="7" max="7" width="11.09765625" style="75" customWidth="1"/>
    <col min="8" max="16384" width="8" style="75" customWidth="1"/>
  </cols>
  <sheetData>
    <row r="1" spans="1:4" s="4" customFormat="1" ht="12.75">
      <c r="A1" s="417" t="s">
        <v>123</v>
      </c>
      <c r="B1" s="417"/>
      <c r="C1" s="417"/>
      <c r="D1" s="176" t="s">
        <v>206</v>
      </c>
    </row>
    <row r="2" spans="1:4" s="4" customFormat="1" ht="12.75">
      <c r="A2" s="405" t="s">
        <v>232</v>
      </c>
      <c r="B2" s="405"/>
      <c r="C2" s="405"/>
      <c r="D2" s="162"/>
    </row>
    <row r="3" spans="1:4" s="4" customFormat="1" ht="12.75">
      <c r="A3" s="446" t="s">
        <v>333</v>
      </c>
      <c r="B3" s="446"/>
      <c r="C3" s="163"/>
      <c r="D3" s="162"/>
    </row>
    <row r="4" spans="1:4" s="4" customFormat="1" ht="12.75">
      <c r="A4" s="70"/>
      <c r="B4" s="70"/>
      <c r="C4" s="70"/>
      <c r="D4" s="70"/>
    </row>
    <row r="5" spans="1:4" s="4" customFormat="1" ht="15.75">
      <c r="A5" s="443" t="s">
        <v>249</v>
      </c>
      <c r="B5" s="443"/>
      <c r="C5" s="443"/>
      <c r="D5" s="443"/>
    </row>
    <row r="6" spans="1:4" s="4" customFormat="1" ht="12.75">
      <c r="A6" s="216" t="s">
        <v>194</v>
      </c>
      <c r="B6" s="216"/>
      <c r="C6" s="445" t="s">
        <v>250</v>
      </c>
      <c r="D6" s="445"/>
    </row>
    <row r="7" spans="1:4" ht="15.75" thickBot="1">
      <c r="A7" s="105"/>
      <c r="B7" s="105"/>
      <c r="C7" s="105"/>
      <c r="D7" s="105"/>
    </row>
    <row r="8" spans="1:7" ht="38.25">
      <c r="A8" s="106" t="s">
        <v>69</v>
      </c>
      <c r="B8" s="107" t="s">
        <v>195</v>
      </c>
      <c r="C8" s="108" t="s">
        <v>196</v>
      </c>
      <c r="D8" s="165" t="s">
        <v>197</v>
      </c>
      <c r="E8" s="78"/>
      <c r="F8" s="76"/>
      <c r="G8" s="76"/>
    </row>
    <row r="9" spans="1:7" ht="12.75">
      <c r="A9" s="110">
        <v>0</v>
      </c>
      <c r="B9" s="77">
        <v>1</v>
      </c>
      <c r="C9" s="123">
        <v>2</v>
      </c>
      <c r="D9" s="166">
        <v>3</v>
      </c>
      <c r="E9" s="78"/>
      <c r="F9" s="76"/>
      <c r="G9" s="76"/>
    </row>
    <row r="10" spans="1:7" ht="38.25">
      <c r="A10" s="167">
        <v>1</v>
      </c>
      <c r="B10" s="168" t="s">
        <v>198</v>
      </c>
      <c r="C10" s="217" t="str">
        <f>'F4-U'!B12</f>
        <v>Pompa de recirculare - pompa centrifuge cu 3 trepte de putere; alimentare: 230V/50Hz; Q min= 0.6 mc/h; h=4.50m</v>
      </c>
      <c r="D10" s="169"/>
      <c r="E10" s="84"/>
      <c r="F10" s="76"/>
      <c r="G10" s="76"/>
    </row>
    <row r="11" spans="1:7" ht="12.75">
      <c r="A11" s="167"/>
      <c r="B11" s="168"/>
      <c r="C11" s="79"/>
      <c r="D11" s="169"/>
      <c r="E11" s="84"/>
      <c r="F11" s="76"/>
      <c r="G11" s="76"/>
    </row>
    <row r="12" spans="1:7" ht="25.5">
      <c r="A12" s="167">
        <v>2</v>
      </c>
      <c r="B12" s="170" t="s">
        <v>199</v>
      </c>
      <c r="C12" s="79"/>
      <c r="D12" s="169"/>
      <c r="E12" s="84"/>
      <c r="F12" s="76"/>
      <c r="G12" s="76"/>
    </row>
    <row r="13" spans="1:7" ht="12.75">
      <c r="A13" s="167"/>
      <c r="B13" s="170"/>
      <c r="C13" s="79"/>
      <c r="D13" s="169"/>
      <c r="E13" s="84"/>
      <c r="F13" s="76"/>
      <c r="G13" s="76"/>
    </row>
    <row r="14" spans="1:7" ht="25.5">
      <c r="A14" s="167">
        <v>3</v>
      </c>
      <c r="B14" s="170" t="s">
        <v>200</v>
      </c>
      <c r="C14" s="79"/>
      <c r="D14" s="169"/>
      <c r="E14" s="84"/>
      <c r="F14" s="76"/>
      <c r="G14" s="76"/>
    </row>
    <row r="15" spans="1:7" ht="12.75">
      <c r="A15" s="167"/>
      <c r="B15" s="168"/>
      <c r="C15" s="79"/>
      <c r="D15" s="169"/>
      <c r="E15" s="84"/>
      <c r="F15" s="76"/>
      <c r="G15" s="76"/>
    </row>
    <row r="16" spans="1:7" ht="12.75">
      <c r="A16" s="167">
        <v>4</v>
      </c>
      <c r="B16" s="168" t="s">
        <v>201</v>
      </c>
      <c r="C16" s="79"/>
      <c r="D16" s="169"/>
      <c r="E16" s="84"/>
      <c r="F16" s="76"/>
      <c r="G16" s="76"/>
    </row>
    <row r="17" spans="1:7" ht="12.75">
      <c r="A17" s="167"/>
      <c r="B17" s="168"/>
      <c r="C17" s="79"/>
      <c r="D17" s="169"/>
      <c r="E17" s="84"/>
      <c r="F17" s="76"/>
      <c r="G17" s="76"/>
    </row>
    <row r="18" spans="1:7" ht="12.75">
      <c r="A18" s="167">
        <v>5</v>
      </c>
      <c r="B18" s="168" t="s">
        <v>202</v>
      </c>
      <c r="C18" s="79"/>
      <c r="D18" s="169"/>
      <c r="E18" s="84"/>
      <c r="F18" s="76"/>
      <c r="G18" s="76"/>
    </row>
    <row r="19" spans="1:7" ht="13.5" thickBot="1">
      <c r="A19" s="171"/>
      <c r="B19" s="172"/>
      <c r="C19" s="173"/>
      <c r="D19" s="174"/>
      <c r="E19" s="76"/>
      <c r="F19" s="76"/>
      <c r="G19" s="76"/>
    </row>
    <row r="20" s="4" customFormat="1" ht="12.75">
      <c r="D20" s="20"/>
    </row>
    <row r="21" s="4" customFormat="1" ht="15">
      <c r="C21" s="65" t="s">
        <v>117</v>
      </c>
    </row>
    <row r="22" spans="3:4" s="4" customFormat="1" ht="12.75">
      <c r="C22" s="175"/>
      <c r="D22" s="20"/>
    </row>
    <row r="23" s="4" customFormat="1" ht="12.75"/>
    <row r="24" spans="1:4" ht="18" customHeight="1">
      <c r="A24" s="95"/>
      <c r="B24" s="76"/>
      <c r="C24" s="98"/>
      <c r="D24" s="98"/>
    </row>
    <row r="25" spans="1:4" ht="18" customHeight="1">
      <c r="A25" s="92"/>
      <c r="B25" s="93"/>
      <c r="C25" s="94"/>
      <c r="D25" s="94"/>
    </row>
    <row r="26" spans="1:4" ht="18" customHeight="1">
      <c r="A26" s="95"/>
      <c r="B26" s="76"/>
      <c r="C26" s="101"/>
      <c r="D26" s="91"/>
    </row>
    <row r="27" spans="1:4" ht="18" customHeight="1">
      <c r="A27" s="95"/>
      <c r="B27" s="76"/>
      <c r="C27" s="101"/>
      <c r="D27" s="91"/>
    </row>
    <row r="28" spans="1:4" ht="18" customHeight="1">
      <c r="A28" s="95"/>
      <c r="B28" s="76"/>
      <c r="C28" s="101"/>
      <c r="D28" s="91"/>
    </row>
    <row r="29" spans="1:4" ht="18" customHeight="1">
      <c r="A29" s="95"/>
      <c r="B29" s="76"/>
      <c r="C29" s="101"/>
      <c r="D29" s="91"/>
    </row>
    <row r="30" spans="1:4" ht="18" customHeight="1">
      <c r="A30" s="95"/>
      <c r="B30" s="76"/>
      <c r="C30" s="101"/>
      <c r="D30" s="91"/>
    </row>
    <row r="31" spans="1:4" ht="18" customHeight="1">
      <c r="A31" s="95"/>
      <c r="B31" s="76"/>
      <c r="C31" s="101"/>
      <c r="D31" s="91"/>
    </row>
    <row r="32" spans="1:4" ht="18" customHeight="1">
      <c r="A32" s="95"/>
      <c r="B32" s="76"/>
      <c r="C32" s="101"/>
      <c r="D32" s="91"/>
    </row>
    <row r="33" spans="1:4" ht="18" customHeight="1">
      <c r="A33" s="95"/>
      <c r="B33" s="76"/>
      <c r="C33" s="101"/>
      <c r="D33" s="91"/>
    </row>
    <row r="34" spans="1:4" ht="18" customHeight="1">
      <c r="A34" s="95"/>
      <c r="B34" s="76"/>
      <c r="C34" s="101"/>
      <c r="D34" s="91"/>
    </row>
    <row r="35" spans="1:4" ht="18" customHeight="1">
      <c r="A35" s="95"/>
      <c r="B35" s="76"/>
      <c r="C35" s="101"/>
      <c r="D35" s="91"/>
    </row>
    <row r="36" spans="1:4" ht="18" customHeight="1">
      <c r="A36" s="95"/>
      <c r="B36" s="76"/>
      <c r="C36" s="101"/>
      <c r="D36" s="91"/>
    </row>
    <row r="37" spans="1:4" ht="18" customHeight="1">
      <c r="A37" s="95"/>
      <c r="B37" s="76"/>
      <c r="C37" s="101"/>
      <c r="D37" s="91"/>
    </row>
    <row r="38" spans="1:4" ht="18" customHeight="1">
      <c r="A38" s="95"/>
      <c r="B38" s="76"/>
      <c r="C38" s="101"/>
      <c r="D38" s="91"/>
    </row>
    <row r="39" spans="1:4" ht="18" customHeight="1">
      <c r="A39" s="95"/>
      <c r="B39" s="76"/>
      <c r="C39" s="101"/>
      <c r="D39" s="91"/>
    </row>
    <row r="40" spans="1:4" ht="18" customHeight="1">
      <c r="A40" s="95"/>
      <c r="B40" s="76"/>
      <c r="C40" s="101"/>
      <c r="D40" s="91"/>
    </row>
    <row r="41" spans="1:4" ht="18" customHeight="1">
      <c r="A41" s="95"/>
      <c r="B41" s="76"/>
      <c r="C41" s="101"/>
      <c r="D41" s="91"/>
    </row>
    <row r="42" spans="1:4" ht="18" customHeight="1">
      <c r="A42" s="95"/>
      <c r="B42" s="76"/>
      <c r="C42" s="101"/>
      <c r="D42" s="91"/>
    </row>
    <row r="43" spans="1:4" ht="18" customHeight="1">
      <c r="A43" s="95"/>
      <c r="B43" s="76"/>
      <c r="C43" s="101"/>
      <c r="D43" s="91"/>
    </row>
    <row r="44" spans="1:4" ht="18" customHeight="1">
      <c r="A44" s="95"/>
      <c r="B44" s="76"/>
      <c r="C44" s="101"/>
      <c r="D44" s="91"/>
    </row>
    <row r="45" spans="1:4" ht="18" customHeight="1">
      <c r="A45" s="95"/>
      <c r="B45" s="76"/>
      <c r="C45" s="101"/>
      <c r="D45" s="91"/>
    </row>
    <row r="46" spans="1:4" ht="18" customHeight="1">
      <c r="A46" s="95"/>
      <c r="B46" s="76"/>
      <c r="C46" s="91"/>
      <c r="D46" s="91"/>
    </row>
    <row r="47" spans="1:4" ht="18" customHeight="1">
      <c r="A47" s="99"/>
      <c r="B47" s="100"/>
      <c r="C47" s="96"/>
      <c r="D47" s="97"/>
    </row>
    <row r="48" spans="1:4" ht="18" customHeight="1">
      <c r="A48" s="95"/>
      <c r="B48" s="76"/>
      <c r="C48" s="98"/>
      <c r="D48" s="98"/>
    </row>
    <row r="49" spans="1:4" ht="18" customHeight="1">
      <c r="A49" s="95"/>
      <c r="B49" s="76"/>
      <c r="C49" s="91"/>
      <c r="D49" s="91"/>
    </row>
    <row r="50" spans="1:4" ht="18" customHeight="1">
      <c r="A50" s="95"/>
      <c r="B50" s="76"/>
      <c r="C50" s="91"/>
      <c r="D50" s="91"/>
    </row>
    <row r="51" spans="1:4" ht="12.75">
      <c r="A51" s="95"/>
      <c r="B51" s="76"/>
      <c r="C51" s="91"/>
      <c r="D51" s="91"/>
    </row>
    <row r="52" spans="1:4" ht="12.75">
      <c r="A52" s="99"/>
      <c r="B52" s="76"/>
      <c r="C52" s="91"/>
      <c r="D52" s="91"/>
    </row>
    <row r="53" spans="1:4" ht="12.75">
      <c r="A53" s="99"/>
      <c r="B53" s="76"/>
      <c r="C53" s="91"/>
      <c r="D53" s="91"/>
    </row>
    <row r="54" spans="1:4" ht="12.75">
      <c r="A54" s="99"/>
      <c r="B54" s="76"/>
      <c r="C54" s="91"/>
      <c r="D54" s="91"/>
    </row>
    <row r="55" spans="1:4" ht="12.75">
      <c r="A55" s="99"/>
      <c r="B55" s="76"/>
      <c r="C55" s="91"/>
      <c r="D55" s="91"/>
    </row>
    <row r="56" spans="1:4" ht="12.75">
      <c r="A56" s="99"/>
      <c r="B56" s="76"/>
      <c r="C56" s="91"/>
      <c r="D56" s="91"/>
    </row>
    <row r="57" spans="1:4" ht="12.75">
      <c r="A57" s="99"/>
      <c r="B57" s="76"/>
      <c r="C57" s="91"/>
      <c r="D57" s="91"/>
    </row>
  </sheetData>
  <sheetProtection/>
  <mergeCells count="5">
    <mergeCell ref="C6:D6"/>
    <mergeCell ref="A1:C1"/>
    <mergeCell ref="A2:C2"/>
    <mergeCell ref="A3:B3"/>
    <mergeCell ref="A5:D5"/>
  </mergeCells>
  <printOptions/>
  <pageMargins left="0.75" right="0.5" top="1" bottom="1" header="0.5" footer="0.5"/>
  <pageSetup blackAndWhite="1" horizontalDpi="1200" verticalDpi="1200" orientation="portrait" paperSize="9" scale="90" r:id="rId1"/>
  <headerFooter alignWithMargins="0">
    <oddHeader>&amp;LFORMULAR F5&amp;R&amp;10        SC PRO-EM SRL
Covasna, str Unirii, nr. 2, jud. Covasna
 - J14/45/2007; CUI:20882687 -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Baumann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A-Max</dc:creator>
  <cp:keywords/>
  <dc:description/>
  <cp:lastModifiedBy>urbaniz2</cp:lastModifiedBy>
  <cp:lastPrinted>2010-09-22T08:36:40Z</cp:lastPrinted>
  <dcterms:created xsi:type="dcterms:W3CDTF">2005-10-29T07:19:33Z</dcterms:created>
  <dcterms:modified xsi:type="dcterms:W3CDTF">2010-11-22T09:56:50Z</dcterms:modified>
  <cp:category/>
  <cp:version/>
  <cp:contentType/>
  <cp:contentStatus/>
</cp:coreProperties>
</file>